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0" yWindow="75" windowWidth="6300" windowHeight="5205" activeTab="1"/>
  </bookViews>
  <sheets>
    <sheet name="Доходи" sheetId="1" r:id="rId1"/>
    <sheet name="Видатки" sheetId="2" r:id="rId2"/>
    <sheet name="Трансферти" sheetId="3" r:id="rId3"/>
  </sheets>
  <definedNames>
    <definedName name="g">'Видатки'!$Z$5</definedName>
    <definedName name="Hd" localSheetId="1">'Видатки'!$T$13</definedName>
    <definedName name="Ho" localSheetId="1">'Видатки'!$AD$13</definedName>
    <definedName name="Hy" localSheetId="1">'Видатки'!$J$13</definedName>
    <definedName name="Hz" localSheetId="1">'Видатки'!$AM$13</definedName>
    <definedName name="K">'Видатки'!$AC$5</definedName>
    <definedName name="Kdm" localSheetId="1">'Видатки'!$Q$8</definedName>
    <definedName name="KdmS">'Видатки'!$O$8</definedName>
    <definedName name="Kgmr" localSheetId="1">'Видатки'!$AC$5</definedName>
    <definedName name="Kmr" localSheetId="1">'Видатки'!$Z$5</definedName>
    <definedName name="kod" localSheetId="1">'Видатки'!$P$13</definedName>
    <definedName name="kog" localSheetId="1">'Видатки'!$Q$13</definedName>
    <definedName name="Kys" localSheetId="1">'Видатки'!$G$13</definedName>
    <definedName name="Kzs" localSheetId="1">'Видатки'!$AL$13</definedName>
    <definedName name="_xlnm.Print_Titles" localSheetId="1">'Видатки'!$A:$C,'Видатки'!$11:$14</definedName>
    <definedName name="_xlnm.Print_Titles" localSheetId="0">'Доходи'!$B:$B</definedName>
    <definedName name="Кog" localSheetId="1">'Видатки'!$Q$13</definedName>
    <definedName name="Кoh" localSheetId="1">'Видатки'!$S$13</definedName>
    <definedName name="Кyn" localSheetId="1">'Видатки'!$F$13</definedName>
    <definedName name="Кzl" localSheetId="1">'Видатки'!$AK$13</definedName>
    <definedName name="Кzn" localSheetId="1">'Видатки'!$AJ$13</definedName>
    <definedName name="Ккl" localSheetId="1">'Видатки'!$AU$13</definedName>
    <definedName name="Ккn" localSheetId="1">'Видатки'!$AR$13</definedName>
    <definedName name="Коd" localSheetId="1">'Видатки'!$P$13</definedName>
    <definedName name="Куl" localSheetId="1">'Видатки'!$H$13</definedName>
    <definedName name="Нkb" localSheetId="1">'Видатки'!$BA$13</definedName>
    <definedName name="Нkk" localSheetId="1">'Видатки'!$AV$13</definedName>
    <definedName name="_xlnm.Print_Area" localSheetId="1">'Видатки'!$A$1:$BR$52</definedName>
    <definedName name="_xlnm.Print_Area" localSheetId="0">'Доходи'!$A$1:$Z$49</definedName>
  </definedNames>
  <calcPr fullCalcOnLoad="1"/>
</workbook>
</file>

<file path=xl/comments2.xml><?xml version="1.0" encoding="utf-8"?>
<comments xmlns="http://schemas.openxmlformats.org/spreadsheetml/2006/main">
  <authors>
    <author>Comp1</author>
    <author>FINANCE</author>
    <author>u251105</author>
    <author>u251102</author>
    <author>u250708</author>
  </authors>
  <commentList>
    <comment ref="BH16" authorId="0">
      <text>
        <r>
          <rPr>
            <b/>
            <sz val="8"/>
            <rFont val="Tahoma"/>
            <family val="2"/>
          </rPr>
          <t>Comp1:</t>
        </r>
        <r>
          <rPr>
            <sz val="8"/>
            <rFont val="Tahoma"/>
            <family val="2"/>
          </rPr>
          <t xml:space="preserve">
ОКРУГЛ(BD15*2,745%;-1)</t>
        </r>
      </text>
    </comment>
    <comment ref="I8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J8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I13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F13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G13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G8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BQ5" authorId="2">
      <text>
        <r>
          <rPr>
            <b/>
            <sz val="12"/>
            <rFont val="Tahoma"/>
            <family val="2"/>
          </rPr>
          <t>Заповнюється самостійно</t>
        </r>
      </text>
    </comment>
    <comment ref="AU13" authorId="2">
      <text>
        <r>
          <rPr>
            <b/>
            <sz val="12"/>
            <rFont val="Tahoma"/>
            <family val="2"/>
          </rPr>
          <t>Заповнюється самостійно</t>
        </r>
      </text>
    </comment>
    <comment ref="BD8" authorId="2">
      <text>
        <r>
          <rPr>
            <b/>
            <sz val="12"/>
            <rFont val="Tahoma"/>
            <family val="2"/>
          </rPr>
          <t>Заповнюється самостійно</t>
        </r>
      </text>
    </comment>
    <comment ref="P13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Q13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V4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T8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AD8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AE8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O8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Q8" authorId="1">
      <text>
        <r>
          <rPr>
            <b/>
            <sz val="8"/>
            <rFont val="Tahoma"/>
            <family val="2"/>
          </rPr>
          <t>Заповнити самостійно</t>
        </r>
        <r>
          <rPr>
            <sz val="8"/>
            <rFont val="Tahoma"/>
            <family val="2"/>
          </rPr>
          <t xml:space="preserve">
</t>
        </r>
      </text>
    </comment>
    <comment ref="B3" authorId="3">
      <text>
        <r>
          <rPr>
            <b/>
            <sz val="16"/>
            <rFont val="Times New Roman"/>
            <family val="1"/>
          </rPr>
          <t>ЗАПОВНИТИ</t>
        </r>
      </text>
    </comment>
    <comment ref="AS8" authorId="4">
      <text>
        <r>
          <rPr>
            <b/>
            <sz val="9"/>
            <rFont val="Tahoma"/>
            <family val="0"/>
          </rPr>
          <t>Заповнити самостійно</t>
        </r>
        <r>
          <rPr>
            <sz val="9"/>
            <rFont val="Tahoma"/>
            <family val="0"/>
          </rPr>
          <t xml:space="preserve">
</t>
        </r>
      </text>
    </comment>
    <comment ref="AT8" authorId="4">
      <text>
        <r>
          <rPr>
            <b/>
            <sz val="9"/>
            <rFont val="Tahoma"/>
            <family val="0"/>
          </rPr>
          <t>Заповнити самостійно</t>
        </r>
        <r>
          <rPr>
            <sz val="9"/>
            <rFont val="Tahoma"/>
            <family val="0"/>
          </rPr>
          <t xml:space="preserve">
</t>
        </r>
      </text>
    </comment>
    <comment ref="AY8" authorId="4">
      <text>
        <r>
          <rPr>
            <b/>
            <sz val="9"/>
            <rFont val="Tahoma"/>
            <family val="0"/>
          </rPr>
          <t>Заповнити самостійно</t>
        </r>
        <r>
          <rPr>
            <sz val="9"/>
            <rFont val="Tahoma"/>
            <family val="0"/>
          </rPr>
          <t xml:space="preserve">
</t>
        </r>
      </text>
    </comment>
    <comment ref="AZ13" authorId="4">
      <text>
        <r>
          <rPr>
            <b/>
            <sz val="9"/>
            <rFont val="Tahoma"/>
            <family val="0"/>
          </rPr>
          <t>Заповнити самостійно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D42" authorId="0">
      <text>
        <r>
          <rPr>
            <sz val="8"/>
            <rFont val="Tahoma"/>
            <family val="2"/>
          </rPr>
          <t xml:space="preserve">Вносимо самостійно
</t>
        </r>
      </text>
    </comment>
    <comment ref="E42" authorId="0">
      <text>
        <r>
          <rPr>
            <sz val="8"/>
            <rFont val="Tahoma"/>
            <family val="2"/>
          </rPr>
          <t xml:space="preserve">Вносимо самостійно
</t>
        </r>
      </text>
    </comment>
  </commentList>
</comments>
</file>

<file path=xl/sharedStrings.xml><?xml version="1.0" encoding="utf-8"?>
<sst xmlns="http://schemas.openxmlformats.org/spreadsheetml/2006/main" count="295" uniqueCount="246">
  <si>
    <t>Найменування  АТО</t>
  </si>
  <si>
    <t>Всього</t>
  </si>
  <si>
    <t>Населення по роках (чол.)</t>
  </si>
  <si>
    <t>№ п/р</t>
  </si>
  <si>
    <t>Індекси податкоспроможності міст і районів по доходах, що враховуються при визначенні обсягів міжбюджетних трансфертів</t>
  </si>
  <si>
    <t>Тенденція</t>
  </si>
  <si>
    <t>коефіцієнт актуалізації</t>
  </si>
  <si>
    <t>12 = 11-9</t>
  </si>
  <si>
    <t xml:space="preserve"> </t>
  </si>
  <si>
    <t>9 = (6/3)/ (всього6/всього3)</t>
  </si>
  <si>
    <t>10 = (7/4)/ (всього 7/всього 4)</t>
  </si>
  <si>
    <t>11 = (8/5)/ (всього 8/всього 5)</t>
  </si>
  <si>
    <r>
      <t>Попередній прогнозний обсяг доходів І кошику (Dr )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>з коефіцієнтом актуалізації</t>
    </r>
  </si>
  <si>
    <t>Обся доходів, що враховуються при визначенні міжбюджетних трансфертів (І кошик) - фактичні  дані</t>
  </si>
  <si>
    <t>експонента</t>
  </si>
  <si>
    <t>екстраполяція</t>
  </si>
  <si>
    <t>23= (22/5)/(всього22/всього5)</t>
  </si>
  <si>
    <t>20= (19/5)/(всього 19/всього 5)</t>
  </si>
  <si>
    <t>26 = 24 + 25</t>
  </si>
  <si>
    <t xml:space="preserve">   17            = 13 якщо 12&lt;0         =15 якщо 12&gt;0</t>
  </si>
  <si>
    <t xml:space="preserve">   18                   = 14 якщо 12&lt;0       =16 якщо 12&gt;0</t>
  </si>
  <si>
    <t>13=EXP(LN(10)+"2"*LN(11)-"2/3"*(LN(9)+LN(10)+LN(11)))</t>
  </si>
  <si>
    <t>14=EXP(LN(11)-("2"*(LN(9)-LN(10))+(LN(10)-LN(11)))/"3"-((LN(9)-LN(10))+(LN(10)-LN(11)))/"2")</t>
  </si>
  <si>
    <t>15=10+"2"*11-"2/3"*(9+10+11)</t>
  </si>
  <si>
    <t>16=11-("2"*(9-10)+(10-11))/"3"-((9-10)+(10-11))/"2"</t>
  </si>
  <si>
    <t>21= 20/17</t>
  </si>
  <si>
    <t>Dizak</t>
  </si>
  <si>
    <t>Dw</t>
  </si>
  <si>
    <t>RDizak</t>
  </si>
  <si>
    <t xml:space="preserve">Прогнозний обсяг доходів І кошику без в/с </t>
  </si>
  <si>
    <t>Kipl</t>
  </si>
  <si>
    <t>Dri</t>
  </si>
  <si>
    <t>hi</t>
  </si>
  <si>
    <t>Kiprohn</t>
  </si>
  <si>
    <t>Kifakt</t>
  </si>
  <si>
    <t>Kiprohn pl</t>
  </si>
  <si>
    <t>Ki1</t>
  </si>
  <si>
    <t>Ki2</t>
  </si>
  <si>
    <t>Ki3</t>
  </si>
  <si>
    <t>Ki3-Ki1</t>
  </si>
  <si>
    <t>Di1+Li1</t>
  </si>
  <si>
    <t>Di2+Li2</t>
  </si>
  <si>
    <t>Di3+Li3</t>
  </si>
  <si>
    <t>Ni1</t>
  </si>
  <si>
    <t>Ni2</t>
  </si>
  <si>
    <t>Ni3</t>
  </si>
  <si>
    <t xml:space="preserve">Обсяг доходів І кошику з в/с </t>
  </si>
  <si>
    <t>ПДФО з військовослужбовців</t>
  </si>
  <si>
    <t xml:space="preserve">розрахункови індекс податкоспроможності </t>
  </si>
  <si>
    <t xml:space="preserve">фактичний індекс податкоспроможності </t>
  </si>
  <si>
    <t xml:space="preserve">Прогнозний індекс податкоспроможності </t>
  </si>
  <si>
    <t>Разом по бюджетах сіл та селища</t>
  </si>
  <si>
    <t>Районний бюджет</t>
  </si>
  <si>
    <t>Кошик 1</t>
  </si>
  <si>
    <t xml:space="preserve">Дані МФ </t>
  </si>
  <si>
    <t>район</t>
  </si>
  <si>
    <t>Державне управління</t>
  </si>
  <si>
    <t>Дошкільна освіта</t>
  </si>
  <si>
    <t>Культура</t>
  </si>
  <si>
    <t>Ознака АТО (міста,  смт - 1)</t>
  </si>
  <si>
    <t>Кількість населених пунктів Sr</t>
  </si>
  <si>
    <t>Нормативні штати Lyr</t>
  </si>
  <si>
    <t>Видатки гірські Vyg</t>
  </si>
  <si>
    <t>Обсяг видатків Vyms</t>
  </si>
  <si>
    <t>К-сть дітей від 0 до 6 років Dr</t>
  </si>
  <si>
    <t>К-сть переданих дітей між АТО</t>
  </si>
  <si>
    <t>К-сть прикріплених дітей від 0 до 6 років Dr</t>
  </si>
  <si>
    <t>К-ість груп Gr</t>
  </si>
  <si>
    <t>К-сть дітей, що ходять Tr</t>
  </si>
  <si>
    <t>Дошкільна освіта Vo</t>
  </si>
  <si>
    <t>Учні міські Umr</t>
  </si>
  <si>
    <t>Учні сільські Us</t>
  </si>
  <si>
    <t>Коефіцієнт Km(s)r</t>
  </si>
  <si>
    <t>Учні міські гірські Ugmr</t>
  </si>
  <si>
    <t>Учні сільські гірські Ugsi</t>
  </si>
  <si>
    <t>Коефіцієнт Kgm(s)r</t>
  </si>
  <si>
    <t>Обсяг видатків</t>
  </si>
  <si>
    <t>Населення, що обслуговується клубними закладами інших АТО (Nik)</t>
  </si>
  <si>
    <t>Населення інших АТО, що обслуговується власними клубними закладами (Njk)</t>
  </si>
  <si>
    <t>Населення, що обслуговується районними клубними закладами (Nrkk)</t>
  </si>
  <si>
    <t>Прикріплене населення (Nkk)</t>
  </si>
  <si>
    <t>Видатки на клубні заклади</t>
  </si>
  <si>
    <t>Населення, що обслуговується бібіліотеками інших АТО (Nib)</t>
  </si>
  <si>
    <t>Населення інших АТО, що обслуговується власними бібліотеками (Njb)</t>
  </si>
  <si>
    <t>Населення, що обслуговується районними бібліотеками (Nrkb)</t>
  </si>
  <si>
    <t>Прикріплене населення  Nkb</t>
  </si>
  <si>
    <t>Видатки на бібліотеки</t>
  </si>
  <si>
    <t>Видатки на гірські АТО Vkg</t>
  </si>
  <si>
    <t>Обсяг видатків Vk</t>
  </si>
  <si>
    <t>Разом видатків</t>
  </si>
  <si>
    <t>Всього видатків</t>
  </si>
  <si>
    <t>Всього по району</t>
  </si>
  <si>
    <t>Обсяг видатків загального фонду бюджетів міст, сіл та селищ, що враховуються при розрахунках</t>
  </si>
  <si>
    <t xml:space="preserve">Обсяг видатків загального фонду бюджету району, що враховуються при розрахунках (дані МФ) </t>
  </si>
  <si>
    <t xml:space="preserve"> Села, селища</t>
  </si>
  <si>
    <t xml:space="preserve">Обсяг видатків загального фонду районного  бюджету, що враховуються при розрахунках </t>
  </si>
  <si>
    <t xml:space="preserve">Дані розрахунку нормативів для району </t>
  </si>
  <si>
    <t>Hyr(m)</t>
  </si>
  <si>
    <t>Нуms (min)</t>
  </si>
  <si>
    <t>Vo</t>
  </si>
  <si>
    <t>Vor</t>
  </si>
  <si>
    <t>Hk</t>
  </si>
  <si>
    <t>Kkk (min)</t>
  </si>
  <si>
    <t>Hkk (min)</t>
  </si>
  <si>
    <t>Kkb (min)</t>
  </si>
  <si>
    <t>Hkb (min)</t>
  </si>
  <si>
    <t>Найменування АТО</t>
  </si>
  <si>
    <t>Ознака гірських АТО</t>
  </si>
  <si>
    <t>Освіта</t>
  </si>
  <si>
    <t>Всього видатків Vi</t>
  </si>
  <si>
    <t>Кyn</t>
  </si>
  <si>
    <t>Kys</t>
  </si>
  <si>
    <t>Куl</t>
  </si>
  <si>
    <t>Kyd</t>
  </si>
  <si>
    <t>Нуms</t>
  </si>
  <si>
    <t>К-сть дітей від 0 до 6 років</t>
  </si>
  <si>
    <t>Кog</t>
  </si>
  <si>
    <t>Кot</t>
  </si>
  <si>
    <t>Hd</t>
  </si>
  <si>
    <t>Учні міські Umri</t>
  </si>
  <si>
    <t>Учні сільські Usi</t>
  </si>
  <si>
    <t>Кs</t>
  </si>
  <si>
    <t>Учні міські гірські Ugmri</t>
  </si>
  <si>
    <t>Kgs</t>
  </si>
  <si>
    <t>Нo</t>
  </si>
  <si>
    <t>Видатки на галузь</t>
  </si>
  <si>
    <t xml:space="preserve"> населення Ni</t>
  </si>
  <si>
    <t>Нkk</t>
  </si>
  <si>
    <t>Kkb</t>
  </si>
  <si>
    <t>Нkb</t>
  </si>
  <si>
    <t>Видатки на гірські АТО Vkgi</t>
  </si>
  <si>
    <t>Видатки на галузь Vki</t>
  </si>
  <si>
    <t>Кількість населених пунктів Si</t>
  </si>
  <si>
    <t>Нормативні штати Lyi</t>
  </si>
  <si>
    <t>Видатки гірські Vygi</t>
  </si>
  <si>
    <t>Видатки на галузь Vyi</t>
  </si>
  <si>
    <t>К-сть прикріплених дітей від 0 до 6 років Dі</t>
  </si>
  <si>
    <t>Дошкільна Vodi</t>
  </si>
  <si>
    <t>Населення, що обслуговується районними клубними закладами (Nri)</t>
  </si>
  <si>
    <t>Прикріплене населення Nkki</t>
  </si>
  <si>
    <t>Населення, що обслуговується районними бібліотеками (Nrkbi)</t>
  </si>
  <si>
    <t>Прикріплене населення Nkbi</t>
  </si>
  <si>
    <t>Всього по м.р.з.</t>
  </si>
  <si>
    <t xml:space="preserve"> Всього по селах, селищах.</t>
  </si>
  <si>
    <t>Баланс</t>
  </si>
  <si>
    <t>Райбюджет</t>
  </si>
  <si>
    <t>Контрольні МФ</t>
  </si>
  <si>
    <t>Розрахунок трансфертів з районного бюджету до бюджетів міст районного значення, сіл та селищ.</t>
  </si>
  <si>
    <t>A</t>
  </si>
  <si>
    <t xml:space="preserve">Найменування </t>
  </si>
  <si>
    <t>Делеговані видатки</t>
  </si>
  <si>
    <t>Закріплені доходи (кошик №1)</t>
  </si>
  <si>
    <t>Дотація вирівнювання</t>
  </si>
  <si>
    <t>Норматив щоденних відрахувань</t>
  </si>
  <si>
    <t>Вилучення</t>
  </si>
  <si>
    <t>Вилучення з врахуванням А</t>
  </si>
  <si>
    <t>Норматив щоденних вилучень</t>
  </si>
  <si>
    <t>Всього по містах і селах</t>
  </si>
  <si>
    <t>Дотація з ДБ (вилучення)</t>
  </si>
  <si>
    <t>Дані МФ</t>
  </si>
  <si>
    <t>Розрахунковий обсяг видатків на підвищення рівня забезпеченості за захищеними статтями  Vzsi</t>
  </si>
  <si>
    <t>Видатки на розвиток дошкільної освіти</t>
  </si>
  <si>
    <t>Дошкільна освіта без видатків розвитку</t>
  </si>
  <si>
    <t>К-сть груп Gi</t>
  </si>
  <si>
    <t>К-сть дітей, що відвідують ДНЗ Ti</t>
  </si>
  <si>
    <t>Видатки на розвиток дошкільної освіти у містах районного значення, які входять до складу районів, селах, селищах та селищах міського типу, в яких діти відвідують ДНЗ</t>
  </si>
  <si>
    <t>Видатки на розвиток дошкільної освіти у містах районного значення, які входять до складу районів, селах, селищах та селищах міського типу, в яких діти не відвідують ДНЗ</t>
  </si>
  <si>
    <t>Hrdov</t>
  </si>
  <si>
    <t>Hrdonv</t>
  </si>
  <si>
    <t>Діти віком  0 - 6 років у містах районного значення, які входять до складу районів, селах, селищах та селищах міського типу у яких діти відвідують ДНЗ - без гірськіх</t>
  </si>
  <si>
    <t>Діти віком  0 - 6 років у містах районного значення, які входять до складу районів, селах, селищах та селищах міського типу у яких діти НЕ відвідують ДНЗ - без гірських</t>
  </si>
  <si>
    <t>Освіта (кількість дітей віком 0 -  6 для розвитку дошкільної освіти)</t>
  </si>
  <si>
    <t>Ho</t>
  </si>
  <si>
    <t>Обсяг видатків 
(V)</t>
  </si>
  <si>
    <t>Vr</t>
  </si>
  <si>
    <t>Vk(r)   
 (2010)</t>
  </si>
  <si>
    <t>Di4</t>
  </si>
  <si>
    <t>Kdm !!!
село</t>
  </si>
  <si>
    <t>Kdm !!!
місто</t>
  </si>
  <si>
    <t>К-сть переданих дітей які відвідують НВК І-ІІ та І- ІІІ ст.</t>
  </si>
  <si>
    <t>К-сть груп НВК І-ІІ та І-ІІІ ст., переданих до райбюджету</t>
  </si>
  <si>
    <t>Середня та позашкільна освіта</t>
  </si>
  <si>
    <t>(грн.)</t>
  </si>
  <si>
    <t>Населення 2009 (чол.) Nr</t>
  </si>
  <si>
    <t xml:space="preserve">Kyd </t>
  </si>
  <si>
    <t>Ky2 !!!!</t>
  </si>
  <si>
    <t>Yr</t>
  </si>
  <si>
    <t>22 = 18*21* (3+4+5)*Прогноз доходів на 2012 по району/(всього3+всього4+всьго5)</t>
  </si>
  <si>
    <t>Прогноз доходів 2012 без вс</t>
  </si>
  <si>
    <t>Прогноз доходів 2012 з вс</t>
  </si>
  <si>
    <t>24 = 23*5*Прогноз доходів на 2012по району без вс/всього5</t>
  </si>
  <si>
    <t>Фактичні надходження доходів (І кошик)                                                                             без військово-службовців за звітними даними  2011року</t>
  </si>
  <si>
    <t>Kod</t>
  </si>
  <si>
    <t>Міста, районні центри</t>
  </si>
  <si>
    <t>Розрахунковий показник обсягу нерозподілених видатків Vhi</t>
  </si>
  <si>
    <t xml:space="preserve">Обсяг нерозподілених видатків Vhi </t>
  </si>
  <si>
    <t>Відсоток  нерозподілених видатків Vhi до видатків бюджету району</t>
  </si>
  <si>
    <t>Соц. захист</t>
  </si>
  <si>
    <t>Фізкультура</t>
  </si>
  <si>
    <t>Ох. здоров’я</t>
  </si>
  <si>
    <t>Всього райб-т</t>
  </si>
  <si>
    <r>
      <t xml:space="preserve">ІІ кошик
</t>
    </r>
    <r>
      <rPr>
        <b/>
        <i/>
        <sz val="8"/>
        <rFont val="Times New Roman Cyr"/>
        <family val="0"/>
      </rPr>
      <t xml:space="preserve">довідково </t>
    </r>
  </si>
  <si>
    <t>К-сть переданих дітей у віці від 0-6, які прикріплені до НВК І-ІІ та І- ІІІ ст., переданих до райбюджету</t>
  </si>
  <si>
    <t>Kkk</t>
  </si>
  <si>
    <t>Розрахунок обсягу видатків по кожній з функцій для кожного з бюджетів міст районного значення, сіл та селищ.</t>
  </si>
  <si>
    <t>с.Безуглівка</t>
  </si>
  <si>
    <t>с.Березанка</t>
  </si>
  <si>
    <t>с.Бурківка</t>
  </si>
  <si>
    <t>с.Велика Дорога</t>
  </si>
  <si>
    <t>с.Велика Кошелівка</t>
  </si>
  <si>
    <t>с.Вертіївка</t>
  </si>
  <si>
    <t>с.Вікторівка</t>
  </si>
  <si>
    <t>с.Галиця</t>
  </si>
  <si>
    <t>с.Григоро-Іванівка</t>
  </si>
  <si>
    <t>с.Данине</t>
  </si>
  <si>
    <t>с.Дуболугівка</t>
  </si>
  <si>
    <t>с.Заньки</t>
  </si>
  <si>
    <t>с.Колісники</t>
  </si>
  <si>
    <t>с.Крути</t>
  </si>
  <si>
    <t>с.Кукшин</t>
  </si>
  <si>
    <t>с.Кунашівка</t>
  </si>
  <si>
    <t>с.Липів Ріг</t>
  </si>
  <si>
    <t>с.Мала Кошелівка</t>
  </si>
  <si>
    <t>с.Перебудова</t>
  </si>
  <si>
    <t>с.Перемога</t>
  </si>
  <si>
    <t>с.Переяслівка</t>
  </si>
  <si>
    <t>с.Сальне</t>
  </si>
  <si>
    <t>с.Світанок</t>
  </si>
  <si>
    <t>с.Стодоли</t>
  </si>
  <si>
    <t>с.Талалаївка</t>
  </si>
  <si>
    <t>с.Терешківка</t>
  </si>
  <si>
    <t>с.Черняхівка</t>
  </si>
  <si>
    <t>с.Шатура</t>
  </si>
  <si>
    <t>с.Шняківка</t>
  </si>
  <si>
    <t>селище Лосинівка</t>
  </si>
  <si>
    <t>Затверджені видатки на 2012 рік (для довідки)</t>
  </si>
  <si>
    <t>Населення 2012 
(тис.чол.) 
Nr</t>
  </si>
  <si>
    <t>Населення 2012 (тис.чол.) Ni</t>
  </si>
  <si>
    <t>Касові видатки за 2012 рік ( без капітальних)</t>
  </si>
  <si>
    <t>Уточнений план видатків на 2012 рік( без капітальних)</t>
  </si>
  <si>
    <t>Розрахунок прогнозного обсягу доходів, що враховуються при визначенні міжбюджетних трансфертів, на 2012 рік по Ніжинському району</t>
  </si>
  <si>
    <t>Затверджено</t>
  </si>
  <si>
    <t>Ніжинської райдержадміністрації</t>
  </si>
  <si>
    <t xml:space="preserve">розпорядженням голови </t>
  </si>
  <si>
    <t>Розрахунок обсягу видатків загального фонду бюджетів міст районного значення, сіл, селищ, що враховуються при розрахунку трансфертів Ніжинського району</t>
  </si>
  <si>
    <t xml:space="preserve"> 24.12.2012 р        № 616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</si>
</sst>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#,##0.0"/>
    <numFmt numFmtId="184" formatCode="#,##0.0000"/>
    <numFmt numFmtId="185" formatCode="0.0%"/>
    <numFmt numFmtId="186" formatCode="#,##0.000"/>
    <numFmt numFmtId="187" formatCode="0.000%"/>
    <numFmt numFmtId="188" formatCode="0.0000000"/>
    <numFmt numFmtId="189" formatCode="0.000000"/>
    <numFmt numFmtId="190" formatCode="0.00000%"/>
    <numFmt numFmtId="191" formatCode="#,##0_ ;[Red]\-#,##0\ "/>
    <numFmt numFmtId="192" formatCode="_-* #,##0.0000000000_р_._-;\-* #,##0.0000000000_р_._-;_-* &quot;-&quot;??_р_._-;_-@_-"/>
    <numFmt numFmtId="193" formatCode="0.000000000000000"/>
    <numFmt numFmtId="194" formatCode="0.00000000000000000"/>
    <numFmt numFmtId="195" formatCode="0.0000000000000000000"/>
    <numFmt numFmtId="196" formatCode="_-* #,##0.000000000000000000_р_._-;\-* #,##0.000000000000000000_р_._-;_-* &quot;-&quot;??_р_._-;_-@_-"/>
    <numFmt numFmtId="197" formatCode="0.0000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b/>
      <sz val="20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10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Tahoma"/>
      <family val="2"/>
    </font>
    <font>
      <b/>
      <i/>
      <sz val="8"/>
      <name val="Times New Roman Cyr"/>
      <family val="0"/>
    </font>
    <font>
      <b/>
      <sz val="16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family val="0"/>
    </font>
    <font>
      <sz val="14"/>
      <name val="Arial Cyr"/>
      <family val="0"/>
    </font>
    <font>
      <b/>
      <sz val="18"/>
      <name val="Arial Cyr"/>
      <family val="2"/>
    </font>
    <font>
      <b/>
      <i/>
      <sz val="10"/>
      <name val="Helv"/>
      <family val="0"/>
    </font>
    <font>
      <b/>
      <sz val="16"/>
      <name val="Arial Cyr"/>
      <family val="2"/>
    </font>
    <font>
      <b/>
      <i/>
      <sz val="9"/>
      <name val="Helv"/>
      <family val="0"/>
    </font>
    <font>
      <b/>
      <sz val="15"/>
      <name val="Arial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3"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21" fillId="20" borderId="2" applyNumberFormat="0" applyAlignment="0" applyProtection="0"/>
    <xf numFmtId="0" fontId="18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6" fillId="21" borderId="8" applyNumberFormat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8" fillId="20" borderId="1" applyNumberFormat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20" borderId="2" applyNumberFormat="0" applyAlignment="0" applyProtection="0"/>
    <xf numFmtId="0" fontId="15" fillId="0" borderId="6" applyNumberFormat="0" applyFill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22">
    <xf numFmtId="0" fontId="0" fillId="0" borderId="0" xfId="0" applyAlignment="1">
      <alignment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182" fontId="7" fillId="8" borderId="10" xfId="0" applyNumberFormat="1" applyFont="1" applyFill="1" applyBorder="1" applyAlignment="1" applyProtection="1">
      <alignment vertical="center"/>
      <protection locked="0"/>
    </xf>
    <xf numFmtId="3" fontId="7" fillId="5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Border="1" applyAlignment="1" applyProtection="1">
      <alignment vertical="center"/>
      <protection locked="0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36" fillId="0" borderId="11" xfId="0" applyFont="1" applyBorder="1" applyAlignment="1">
      <alignment/>
    </xf>
    <xf numFmtId="180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9" fontId="35" fillId="0" borderId="0" xfId="93" applyFont="1" applyFill="1" applyBorder="1" applyAlignment="1">
      <alignment/>
    </xf>
    <xf numFmtId="0" fontId="37" fillId="0" borderId="0" xfId="0" applyFont="1" applyAlignment="1">
      <alignment/>
    </xf>
    <xf numFmtId="180" fontId="3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181" fontId="43" fillId="22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3" fontId="43" fillId="0" borderId="0" xfId="0" applyNumberFormat="1" applyFont="1" applyBorder="1" applyAlignment="1" applyProtection="1">
      <alignment horizontal="center" vertical="center" wrapText="1"/>
      <protection locked="0"/>
    </xf>
    <xf numFmtId="1" fontId="43" fillId="0" borderId="10" xfId="0" applyNumberFormat="1" applyFont="1" applyBorder="1" applyAlignment="1" applyProtection="1">
      <alignment/>
      <protection locked="0"/>
    </xf>
    <xf numFmtId="180" fontId="43" fillId="0" borderId="10" xfId="0" applyNumberFormat="1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180" fontId="44" fillId="22" borderId="10" xfId="0" applyNumberFormat="1" applyFont="1" applyFill="1" applyBorder="1" applyAlignment="1" applyProtection="1">
      <alignment horizontal="center" vertical="center"/>
      <protection locked="0"/>
    </xf>
    <xf numFmtId="180" fontId="43" fillId="22" borderId="14" xfId="0" applyNumberFormat="1" applyFont="1" applyFill="1" applyBorder="1" applyAlignment="1" applyProtection="1">
      <alignment horizontal="center" vertical="center"/>
      <protection locked="0"/>
    </xf>
    <xf numFmtId="180" fontId="43" fillId="22" borderId="15" xfId="0" applyNumberFormat="1" applyFont="1" applyFill="1" applyBorder="1" applyAlignment="1" applyProtection="1">
      <alignment horizontal="center" vertical="center"/>
      <protection locked="0"/>
    </xf>
    <xf numFmtId="180" fontId="43" fillId="22" borderId="10" xfId="0" applyNumberFormat="1" applyFont="1" applyFill="1" applyBorder="1" applyAlignment="1" applyProtection="1">
      <alignment horizontal="center" vertical="center"/>
      <protection locked="0"/>
    </xf>
    <xf numFmtId="181" fontId="43" fillId="22" borderId="15" xfId="0" applyNumberFormat="1" applyFont="1" applyFill="1" applyBorder="1" applyAlignment="1" applyProtection="1">
      <alignment horizontal="center" vertical="center"/>
      <protection locked="0"/>
    </xf>
    <xf numFmtId="180" fontId="43" fillId="22" borderId="16" xfId="0" applyNumberFormat="1" applyFont="1" applyFill="1" applyBorder="1" applyAlignment="1" applyProtection="1">
      <alignment horizontal="center" vertical="center" wrapText="1"/>
      <protection locked="0"/>
    </xf>
    <xf numFmtId="181" fontId="43" fillId="22" borderId="17" xfId="0" applyNumberFormat="1" applyFont="1" applyFill="1" applyBorder="1" applyAlignment="1" applyProtection="1">
      <alignment horizontal="center" vertical="center"/>
      <protection locked="0"/>
    </xf>
    <xf numFmtId="180" fontId="43" fillId="22" borderId="18" xfId="0" applyNumberFormat="1" applyFont="1" applyFill="1" applyBorder="1" applyAlignment="1" applyProtection="1">
      <alignment horizontal="center" vertical="center"/>
      <protection locked="0"/>
    </xf>
    <xf numFmtId="180" fontId="43" fillId="22" borderId="17" xfId="0" applyNumberFormat="1" applyFont="1" applyFill="1" applyBorder="1" applyAlignment="1" applyProtection="1">
      <alignment horizontal="center" vertical="center"/>
      <protection locked="0"/>
    </xf>
    <xf numFmtId="181" fontId="43" fillId="22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3" fontId="43" fillId="24" borderId="13" xfId="0" applyNumberFormat="1" applyFont="1" applyFill="1" applyBorder="1" applyAlignment="1" applyProtection="1">
      <alignment horizontal="right" vertical="center"/>
      <protection locked="0"/>
    </xf>
    <xf numFmtId="0" fontId="43" fillId="10" borderId="0" xfId="0" applyFont="1" applyFill="1" applyAlignment="1" applyProtection="1">
      <alignment horizontal="left"/>
      <protection locked="0"/>
    </xf>
    <xf numFmtId="3" fontId="31" fillId="0" borderId="10" xfId="0" applyNumberFormat="1" applyFont="1" applyFill="1" applyBorder="1" applyAlignment="1" applyProtection="1">
      <alignment vertical="center"/>
      <protection locked="0"/>
    </xf>
    <xf numFmtId="3" fontId="31" fillId="0" borderId="10" xfId="0" applyNumberFormat="1" applyFont="1" applyBorder="1" applyAlignment="1" applyProtection="1">
      <alignment/>
      <protection locked="0"/>
    </xf>
    <xf numFmtId="181" fontId="29" fillId="0" borderId="19" xfId="51" applyNumberFormat="1" applyFont="1" applyFill="1" applyBorder="1" applyAlignment="1" applyProtection="1">
      <alignment horizontal="center" vertical="center"/>
      <protection locked="0"/>
    </xf>
    <xf numFmtId="181" fontId="30" fillId="0" borderId="10" xfId="51" applyNumberFormat="1" applyFont="1" applyFill="1" applyBorder="1" applyAlignment="1" applyProtection="1">
      <alignment horizontal="center" vertical="center"/>
      <protection locked="0"/>
    </xf>
    <xf numFmtId="181" fontId="29" fillId="0" borderId="20" xfId="51" applyNumberFormat="1" applyFont="1" applyFill="1" applyBorder="1" applyAlignment="1" applyProtection="1">
      <alignment horizontal="center" vertical="center"/>
      <protection locked="0"/>
    </xf>
    <xf numFmtId="1" fontId="43" fillId="0" borderId="10" xfId="0" applyNumberFormat="1" applyFont="1" applyBorder="1" applyAlignment="1" applyProtection="1">
      <alignment horizontal="right"/>
      <protection locked="0"/>
    </xf>
    <xf numFmtId="1" fontId="45" fillId="0" borderId="10" xfId="0" applyNumberFormat="1" applyFont="1" applyBorder="1" applyAlignment="1" applyProtection="1">
      <alignment horizontal="right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6" fillId="0" borderId="21" xfId="0" applyFont="1" applyBorder="1" applyAlignment="1">
      <alignment horizontal="center"/>
    </xf>
    <xf numFmtId="180" fontId="4" fillId="22" borderId="10" xfId="0" applyNumberFormat="1" applyFont="1" applyFill="1" applyBorder="1" applyAlignment="1" applyProtection="1">
      <alignment horizontal="center" vertical="center"/>
      <protection locked="0"/>
    </xf>
    <xf numFmtId="3" fontId="36" fillId="11" borderId="10" xfId="0" applyNumberFormat="1" applyFont="1" applyFill="1" applyBorder="1" applyAlignment="1" applyProtection="1">
      <alignment/>
      <protection locked="0"/>
    </xf>
    <xf numFmtId="0" fontId="36" fillId="11" borderId="10" xfId="0" applyFont="1" applyFill="1" applyBorder="1" applyAlignment="1">
      <alignment horizontal="center"/>
    </xf>
    <xf numFmtId="2" fontId="43" fillId="11" borderId="10" xfId="0" applyNumberFormat="1" applyFont="1" applyFill="1" applyBorder="1" applyAlignment="1" applyProtection="1">
      <alignment horizontal="center" vertical="center"/>
      <protection locked="0"/>
    </xf>
    <xf numFmtId="2" fontId="43" fillId="11" borderId="15" xfId="0" applyNumberFormat="1" applyFont="1" applyFill="1" applyBorder="1" applyAlignment="1" applyProtection="1">
      <alignment horizontal="center" vertical="center"/>
      <protection locked="0"/>
    </xf>
    <xf numFmtId="181" fontId="4" fillId="22" borderId="10" xfId="0" applyNumberFormat="1" applyFont="1" applyFill="1" applyBorder="1" applyAlignment="1" applyProtection="1">
      <alignment horizontal="center" vertical="center"/>
      <protection locked="0"/>
    </xf>
    <xf numFmtId="3" fontId="43" fillId="0" borderId="10" xfId="0" applyNumberFormat="1" applyFont="1" applyBorder="1" applyAlignment="1" applyProtection="1">
      <alignment horizontal="right"/>
      <protection locked="0"/>
    </xf>
    <xf numFmtId="1" fontId="43" fillId="0" borderId="10" xfId="0" applyNumberFormat="1" applyFont="1" applyFill="1" applyBorder="1" applyAlignment="1" applyProtection="1">
      <alignment horizontal="right"/>
      <protection locked="0"/>
    </xf>
    <xf numFmtId="1" fontId="43" fillId="0" borderId="16" xfId="0" applyNumberFormat="1" applyFont="1" applyFill="1" applyBorder="1" applyAlignment="1" applyProtection="1">
      <alignment horizontal="right"/>
      <protection locked="0"/>
    </xf>
    <xf numFmtId="1" fontId="43" fillId="0" borderId="10" xfId="0" applyNumberFormat="1" applyFont="1" applyFill="1" applyBorder="1" applyAlignment="1" applyProtection="1">
      <alignment horizontal="center"/>
      <protection locked="0"/>
    </xf>
    <xf numFmtId="0" fontId="7" fillId="23" borderId="19" xfId="0" applyFont="1" applyFill="1" applyBorder="1" applyAlignment="1" applyProtection="1">
      <alignment horizontal="left"/>
      <protection locked="0"/>
    </xf>
    <xf numFmtId="0" fontId="7" fillId="23" borderId="10" xfId="0" applyFont="1" applyFill="1" applyBorder="1" applyAlignment="1" applyProtection="1">
      <alignment horizontal="left"/>
      <protection locked="0"/>
    </xf>
    <xf numFmtId="181" fontId="43" fillId="11" borderId="10" xfId="0" applyNumberFormat="1" applyFont="1" applyFill="1" applyBorder="1" applyAlignment="1" applyProtection="1">
      <alignment horizontal="center"/>
      <protection locked="0"/>
    </xf>
    <xf numFmtId="0" fontId="4" fillId="17" borderId="22" xfId="0" applyFont="1" applyFill="1" applyBorder="1" applyAlignment="1" applyProtection="1">
      <alignment horizontal="centerContinuous" vertical="center" wrapText="1"/>
      <protection locked="0"/>
    </xf>
    <xf numFmtId="0" fontId="4" fillId="17" borderId="23" xfId="0" applyFont="1" applyFill="1" applyBorder="1" applyAlignment="1" applyProtection="1">
      <alignment horizontal="centerContinuous" vertical="center" wrapText="1"/>
      <protection locked="0"/>
    </xf>
    <xf numFmtId="2" fontId="4" fillId="17" borderId="18" xfId="0" applyNumberFormat="1" applyFont="1" applyFill="1" applyBorder="1" applyAlignment="1" applyProtection="1">
      <alignment horizontal="center" vertical="center"/>
      <protection locked="0"/>
    </xf>
    <xf numFmtId="2" fontId="43" fillId="17" borderId="17" xfId="0" applyNumberFormat="1" applyFont="1" applyFill="1" applyBorder="1" applyAlignment="1" applyProtection="1">
      <alignment horizontal="center" vertical="center"/>
      <protection locked="0"/>
    </xf>
    <xf numFmtId="0" fontId="43" fillId="17" borderId="23" xfId="0" applyFont="1" applyFill="1" applyBorder="1" applyAlignment="1" applyProtection="1">
      <alignment horizontal="centerContinuous" wrapText="1"/>
      <protection locked="0"/>
    </xf>
    <xf numFmtId="181" fontId="4" fillId="17" borderId="10" xfId="0" applyNumberFormat="1" applyFont="1" applyFill="1" applyBorder="1" applyAlignment="1" applyProtection="1">
      <alignment horizontal="center"/>
      <protection locked="0"/>
    </xf>
    <xf numFmtId="181" fontId="43" fillId="17" borderId="10" xfId="0" applyNumberFormat="1" applyFont="1" applyFill="1" applyBorder="1" applyAlignment="1" applyProtection="1">
      <alignment horizontal="center"/>
      <protection locked="0"/>
    </xf>
    <xf numFmtId="0" fontId="4" fillId="17" borderId="24" xfId="0" applyFont="1" applyFill="1" applyBorder="1" applyAlignment="1" applyProtection="1">
      <alignment horizontal="centerContinuous" vertical="center" wrapText="1"/>
      <protection locked="0"/>
    </xf>
    <xf numFmtId="0" fontId="4" fillId="17" borderId="25" xfId="0" applyFont="1" applyFill="1" applyBorder="1" applyAlignment="1" applyProtection="1">
      <alignment horizontal="centerContinuous" vertical="center" wrapText="1"/>
      <protection locked="0"/>
    </xf>
    <xf numFmtId="180" fontId="43" fillId="17" borderId="10" xfId="0" applyNumberFormat="1" applyFont="1" applyFill="1" applyBorder="1" applyAlignment="1" applyProtection="1">
      <alignment horizontal="center" vertical="center"/>
      <protection locked="0"/>
    </xf>
    <xf numFmtId="180" fontId="43" fillId="17" borderId="19" xfId="0" applyNumberFormat="1" applyFont="1" applyFill="1" applyBorder="1" applyAlignment="1" applyProtection="1">
      <alignment horizontal="center" vertical="center"/>
      <protection locked="0"/>
    </xf>
    <xf numFmtId="180" fontId="43" fillId="17" borderId="16" xfId="0" applyNumberFormat="1" applyFont="1" applyFill="1" applyBorder="1" applyAlignment="1" applyProtection="1">
      <alignment horizontal="center" vertical="center"/>
      <protection locked="0"/>
    </xf>
    <xf numFmtId="1" fontId="43" fillId="17" borderId="26" xfId="0" applyNumberFormat="1" applyFont="1" applyFill="1" applyBorder="1" applyAlignment="1" applyProtection="1">
      <alignment horizontal="center" vertical="center"/>
      <protection locked="0"/>
    </xf>
    <xf numFmtId="1" fontId="43" fillId="0" borderId="10" xfId="0" applyNumberFormat="1" applyFont="1" applyFill="1" applyBorder="1" applyAlignment="1" applyProtection="1">
      <alignment vertical="center"/>
      <protection locked="0"/>
    </xf>
    <xf numFmtId="181" fontId="47" fillId="0" borderId="19" xfId="0" applyNumberFormat="1" applyFont="1" applyBorder="1" applyAlignment="1" applyProtection="1">
      <alignment vertical="center"/>
      <protection locked="0"/>
    </xf>
    <xf numFmtId="1" fontId="43" fillId="17" borderId="10" xfId="0" applyNumberFormat="1" applyFont="1" applyFill="1" applyBorder="1" applyAlignment="1" applyProtection="1">
      <alignment vertical="center"/>
      <protection locked="0"/>
    </xf>
    <xf numFmtId="2" fontId="4" fillId="17" borderId="10" xfId="0" applyNumberFormat="1" applyFont="1" applyFill="1" applyBorder="1" applyAlignment="1" applyProtection="1">
      <alignment vertical="center"/>
      <protection locked="0"/>
    </xf>
    <xf numFmtId="0" fontId="46" fillId="17" borderId="10" xfId="84" applyFont="1" applyFill="1" applyBorder="1" applyAlignment="1" applyProtection="1">
      <alignment horizontal="right"/>
      <protection locked="0"/>
    </xf>
    <xf numFmtId="0" fontId="4" fillId="17" borderId="12" xfId="0" applyFont="1" applyFill="1" applyBorder="1" applyAlignment="1" applyProtection="1">
      <alignment vertical="center"/>
      <protection locked="0"/>
    </xf>
    <xf numFmtId="180" fontId="44" fillId="22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11" borderId="17" xfId="0" applyNumberFormat="1" applyFont="1" applyFill="1" applyBorder="1" applyAlignment="1" applyProtection="1">
      <alignment horizontal="center" vertical="center"/>
      <protection locked="0"/>
    </xf>
    <xf numFmtId="3" fontId="4" fillId="22" borderId="26" xfId="0" applyNumberFormat="1" applyFont="1" applyFill="1" applyBorder="1" applyAlignment="1" applyProtection="1">
      <alignment horizontal="center" vertical="center"/>
      <protection locked="0"/>
    </xf>
    <xf numFmtId="180" fontId="4" fillId="22" borderId="18" xfId="0" applyNumberFormat="1" applyFont="1" applyFill="1" applyBorder="1" applyAlignment="1" applyProtection="1">
      <alignment horizontal="center" vertical="center"/>
      <protection locked="0"/>
    </xf>
    <xf numFmtId="180" fontId="4" fillId="22" borderId="17" xfId="0" applyNumberFormat="1" applyFont="1" applyFill="1" applyBorder="1" applyAlignment="1" applyProtection="1">
      <alignment horizontal="center" vertical="center"/>
      <protection locked="0"/>
    </xf>
    <xf numFmtId="180" fontId="43" fillId="22" borderId="17" xfId="0" applyNumberFormat="1" applyFont="1" applyFill="1" applyBorder="1" applyAlignment="1" applyProtection="1">
      <alignment horizontal="right" vertical="center"/>
      <protection locked="0"/>
    </xf>
    <xf numFmtId="3" fontId="43" fillId="17" borderId="17" xfId="0" applyNumberFormat="1" applyFont="1" applyFill="1" applyBorder="1" applyAlignment="1" applyProtection="1">
      <alignment horizontal="right" vertical="center"/>
      <protection locked="0"/>
    </xf>
    <xf numFmtId="180" fontId="43" fillId="22" borderId="27" xfId="0" applyNumberFormat="1" applyFont="1" applyFill="1" applyBorder="1" applyAlignment="1" applyProtection="1">
      <alignment horizontal="right" vertical="center"/>
      <protection locked="0"/>
    </xf>
    <xf numFmtId="1" fontId="43" fillId="22" borderId="27" xfId="0" applyNumberFormat="1" applyFont="1" applyFill="1" applyBorder="1" applyAlignment="1" applyProtection="1">
      <alignment horizontal="right" vertical="center"/>
      <protection locked="0"/>
    </xf>
    <xf numFmtId="1" fontId="32" fillId="24" borderId="10" xfId="0" applyNumberFormat="1" applyFont="1" applyFill="1" applyBorder="1" applyAlignment="1" applyProtection="1">
      <alignment horizontal="center" vertical="center"/>
      <protection/>
    </xf>
    <xf numFmtId="181" fontId="32" fillId="22" borderId="10" xfId="0" applyNumberFormat="1" applyFont="1" applyFill="1" applyBorder="1" applyAlignment="1" applyProtection="1">
      <alignment horizontal="center" vertical="center"/>
      <protection locked="0"/>
    </xf>
    <xf numFmtId="0" fontId="44" fillId="17" borderId="12" xfId="0" applyFont="1" applyFill="1" applyBorder="1" applyAlignment="1" applyProtection="1">
      <alignment horizontal="center" vertical="center"/>
      <protection locked="0"/>
    </xf>
    <xf numFmtId="0" fontId="44" fillId="17" borderId="28" xfId="0" applyFont="1" applyFill="1" applyBorder="1" applyAlignment="1" applyProtection="1">
      <alignment horizontal="center" vertical="center"/>
      <protection locked="0"/>
    </xf>
    <xf numFmtId="181" fontId="44" fillId="22" borderId="10" xfId="0" applyNumberFormat="1" applyFont="1" applyFill="1" applyBorder="1" applyAlignment="1" applyProtection="1">
      <alignment horizontal="center" vertical="center" wrapText="1"/>
      <protection locked="0"/>
    </xf>
    <xf numFmtId="181" fontId="44" fillId="22" borderId="10" xfId="0" applyNumberFormat="1" applyFont="1" applyFill="1" applyBorder="1" applyAlignment="1" applyProtection="1">
      <alignment horizontal="center" vertical="center"/>
      <protection locked="0"/>
    </xf>
    <xf numFmtId="181" fontId="43" fillId="22" borderId="19" xfId="0" applyNumberFormat="1" applyFont="1" applyFill="1" applyBorder="1" applyAlignment="1" applyProtection="1">
      <alignment horizontal="center" vertical="center"/>
      <protection locked="0"/>
    </xf>
    <xf numFmtId="181" fontId="43" fillId="22" borderId="16" xfId="0" applyNumberFormat="1" applyFont="1" applyFill="1" applyBorder="1" applyAlignment="1" applyProtection="1">
      <alignment horizontal="center" vertical="center"/>
      <protection locked="0"/>
    </xf>
    <xf numFmtId="180" fontId="4" fillId="22" borderId="16" xfId="0" applyNumberFormat="1" applyFont="1" applyFill="1" applyBorder="1" applyAlignment="1" applyProtection="1">
      <alignment horizontal="center" vertical="center" wrapText="1"/>
      <protection locked="0"/>
    </xf>
    <xf numFmtId="181" fontId="44" fillId="22" borderId="15" xfId="0" applyNumberFormat="1" applyFont="1" applyFill="1" applyBorder="1" applyAlignment="1" applyProtection="1">
      <alignment horizontal="center" vertical="center"/>
      <protection locked="0"/>
    </xf>
    <xf numFmtId="181" fontId="4" fillId="3" borderId="10" xfId="0" applyNumberFormat="1" applyFont="1" applyFill="1" applyBorder="1" applyAlignment="1" applyProtection="1">
      <alignment horizontal="center"/>
      <protection locked="0"/>
    </xf>
    <xf numFmtId="1" fontId="45" fillId="0" borderId="10" xfId="0" applyNumberFormat="1" applyFont="1" applyBorder="1" applyAlignment="1" applyProtection="1">
      <alignment/>
      <protection locked="0"/>
    </xf>
    <xf numFmtId="3" fontId="45" fillId="11" borderId="26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0" xfId="0" applyFont="1" applyFill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3" fillId="17" borderId="23" xfId="0" applyFont="1" applyFill="1" applyBorder="1" applyAlignment="1" applyProtection="1">
      <alignment horizontal="centerContinuous" vertical="center" wrapText="1"/>
      <protection locked="0"/>
    </xf>
    <xf numFmtId="0" fontId="43" fillId="0" borderId="12" xfId="0" applyFont="1" applyFill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center" vertical="center" textRotation="90" wrapText="1"/>
      <protection locked="0"/>
    </xf>
    <xf numFmtId="0" fontId="45" fillId="17" borderId="29" xfId="0" applyFont="1" applyFill="1" applyBorder="1" applyAlignment="1" applyProtection="1">
      <alignment horizontal="center" vertical="center" textRotation="90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0" fontId="43" fillId="25" borderId="10" xfId="0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Fill="1" applyBorder="1" applyAlignment="1" applyProtection="1">
      <alignment horizontal="center" vertical="center" wrapText="1"/>
      <protection locked="0"/>
    </xf>
    <xf numFmtId="2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3" fillId="17" borderId="15" xfId="0" applyFont="1" applyFill="1" applyBorder="1" applyAlignment="1" applyProtection="1">
      <alignment horizontal="center" vertical="center" wrapText="1"/>
      <protection locked="0"/>
    </xf>
    <xf numFmtId="180" fontId="43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17" borderId="10" xfId="0" applyFont="1" applyFill="1" applyBorder="1" applyAlignment="1" applyProtection="1">
      <alignment horizontal="center" vertical="center" wrapText="1"/>
      <protection locked="0"/>
    </xf>
    <xf numFmtId="2" fontId="43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17" borderId="19" xfId="0" applyFont="1" applyFill="1" applyBorder="1" applyAlignment="1" applyProtection="1">
      <alignment horizontal="center" vertical="center" wrapText="1"/>
      <protection locked="0"/>
    </xf>
    <xf numFmtId="0" fontId="43" fillId="17" borderId="16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180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1" fontId="43" fillId="24" borderId="13" xfId="0" applyNumberFormat="1" applyFont="1" applyFill="1" applyBorder="1" applyAlignment="1" applyProtection="1">
      <alignment horizontal="center" vertical="center"/>
      <protection locked="0"/>
    </xf>
    <xf numFmtId="1" fontId="45" fillId="17" borderId="29" xfId="0" applyNumberFormat="1" applyFont="1" applyFill="1" applyBorder="1" applyAlignment="1" applyProtection="1">
      <alignment horizontal="center" vertical="center"/>
      <protection locked="0"/>
    </xf>
    <xf numFmtId="3" fontId="43" fillId="17" borderId="19" xfId="0" applyNumberFormat="1" applyFont="1" applyFill="1" applyBorder="1" applyAlignment="1" applyProtection="1">
      <alignment vertical="center"/>
      <protection locked="0"/>
    </xf>
    <xf numFmtId="0" fontId="43" fillId="0" borderId="20" xfId="0" applyFont="1" applyBorder="1" applyAlignment="1" applyProtection="1">
      <alignment horizontal="centerContinuous" vertical="center" wrapText="1"/>
      <protection locked="0"/>
    </xf>
    <xf numFmtId="0" fontId="43" fillId="0" borderId="30" xfId="0" applyFont="1" applyBorder="1" applyAlignment="1" applyProtection="1">
      <alignment horizontal="centerContinuous" vertical="center" wrapText="1"/>
      <protection locked="0"/>
    </xf>
    <xf numFmtId="0" fontId="43" fillId="22" borderId="20" xfId="0" applyFont="1" applyFill="1" applyBorder="1" applyAlignment="1" applyProtection="1">
      <alignment horizontal="centerContinuous" vertical="center" wrapText="1"/>
      <protection locked="0"/>
    </xf>
    <xf numFmtId="0" fontId="43" fillId="22" borderId="30" xfId="0" applyFont="1" applyFill="1" applyBorder="1" applyAlignment="1" applyProtection="1">
      <alignment horizontal="centerContinuous" vertical="center" wrapText="1"/>
      <protection locked="0"/>
    </xf>
    <xf numFmtId="181" fontId="43" fillId="22" borderId="13" xfId="0" applyNumberFormat="1" applyFont="1" applyFill="1" applyBorder="1" applyAlignment="1" applyProtection="1">
      <alignment horizontal="center" vertical="center"/>
      <protection locked="0"/>
    </xf>
    <xf numFmtId="181" fontId="45" fillId="17" borderId="29" xfId="0" applyNumberFormat="1" applyFont="1" applyFill="1" applyBorder="1" applyAlignment="1" applyProtection="1">
      <alignment horizontal="center" vertical="center"/>
      <protection locked="0"/>
    </xf>
    <xf numFmtId="180" fontId="43" fillId="17" borderId="15" xfId="0" applyNumberFormat="1" applyFont="1" applyFill="1" applyBorder="1" applyAlignment="1" applyProtection="1">
      <alignment horizontal="center" vertical="center"/>
      <protection locked="0"/>
    </xf>
    <xf numFmtId="180" fontId="45" fillId="17" borderId="10" xfId="0" applyNumberFormat="1" applyFont="1" applyFill="1" applyBorder="1" applyAlignment="1" applyProtection="1">
      <alignment horizontal="center" vertical="center"/>
      <protection locked="0"/>
    </xf>
    <xf numFmtId="0" fontId="43" fillId="17" borderId="10" xfId="0" applyFont="1" applyFill="1" applyBorder="1" applyAlignment="1" applyProtection="1">
      <alignment horizontal="left" vertical="center"/>
      <protection locked="0"/>
    </xf>
    <xf numFmtId="180" fontId="43" fillId="22" borderId="15" xfId="0" applyNumberFormat="1" applyFont="1" applyFill="1" applyBorder="1" applyAlignment="1" applyProtection="1">
      <alignment horizontal="center" vertical="center" wrapText="1"/>
      <protection locked="0"/>
    </xf>
    <xf numFmtId="180" fontId="43" fillId="22" borderId="10" xfId="0" applyNumberFormat="1" applyFont="1" applyFill="1" applyBorder="1" applyAlignment="1" applyProtection="1">
      <alignment horizontal="center" vertical="center" wrapText="1"/>
      <protection locked="0"/>
    </xf>
    <xf numFmtId="180" fontId="43" fillId="22" borderId="13" xfId="0" applyNumberFormat="1" applyFont="1" applyFill="1" applyBorder="1" applyAlignment="1" applyProtection="1">
      <alignment horizontal="right" vertical="center"/>
      <protection locked="0"/>
    </xf>
    <xf numFmtId="181" fontId="43" fillId="22" borderId="27" xfId="0" applyNumberFormat="1" applyFont="1" applyFill="1" applyBorder="1" applyAlignment="1" applyProtection="1">
      <alignment horizontal="center" vertical="center"/>
      <protection locked="0"/>
    </xf>
    <xf numFmtId="181" fontId="45" fillId="17" borderId="31" xfId="0" applyNumberFormat="1" applyFont="1" applyFill="1" applyBorder="1" applyAlignment="1" applyProtection="1">
      <alignment horizontal="center" vertical="center"/>
      <protection locked="0"/>
    </xf>
    <xf numFmtId="3" fontId="43" fillId="11" borderId="17" xfId="0" applyNumberFormat="1" applyFont="1" applyFill="1" applyBorder="1" applyAlignment="1" applyProtection="1">
      <alignment horizontal="right" vertical="center"/>
      <protection locked="0"/>
    </xf>
    <xf numFmtId="180" fontId="43" fillId="22" borderId="32" xfId="0" applyNumberFormat="1" applyFont="1" applyFill="1" applyBorder="1" applyAlignment="1" applyProtection="1">
      <alignment horizontal="right" vertical="center"/>
      <protection locked="0"/>
    </xf>
    <xf numFmtId="180" fontId="43" fillId="22" borderId="26" xfId="0" applyNumberFormat="1" applyFont="1" applyFill="1" applyBorder="1" applyAlignment="1" applyProtection="1">
      <alignment horizontal="right" vertical="center"/>
      <protection locked="0"/>
    </xf>
    <xf numFmtId="181" fontId="43" fillId="17" borderId="17" xfId="0" applyNumberFormat="1" applyFont="1" applyFill="1" applyBorder="1" applyAlignment="1" applyProtection="1">
      <alignment horizontal="center" vertical="center"/>
      <protection locked="0"/>
    </xf>
    <xf numFmtId="182" fontId="43" fillId="17" borderId="17" xfId="0" applyNumberFormat="1" applyFont="1" applyFill="1" applyBorder="1" applyAlignment="1" applyProtection="1">
      <alignment horizontal="center" vertical="center"/>
      <protection locked="0"/>
    </xf>
    <xf numFmtId="0" fontId="43" fillId="17" borderId="17" xfId="0" applyFont="1" applyFill="1" applyBorder="1" applyAlignment="1" applyProtection="1">
      <alignment horizontal="left" vertical="center"/>
      <protection locked="0"/>
    </xf>
    <xf numFmtId="3" fontId="43" fillId="17" borderId="17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180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43" fillId="11" borderId="10" xfId="0" applyNumberFormat="1" applyFont="1" applyFill="1" applyBorder="1" applyAlignment="1" applyProtection="1">
      <alignment horizontal="center" vertical="center"/>
      <protection locked="0"/>
    </xf>
    <xf numFmtId="182" fontId="43" fillId="11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33" xfId="0" applyFont="1" applyBorder="1" applyAlignment="1" applyProtection="1">
      <alignment horizontal="center" vertical="center" wrapText="1"/>
      <protection locked="0"/>
    </xf>
    <xf numFmtId="0" fontId="43" fillId="24" borderId="10" xfId="0" applyFont="1" applyFill="1" applyBorder="1" applyAlignment="1" applyProtection="1">
      <alignment horizontal="center" vertical="center" wrapText="1"/>
      <protection locked="0"/>
    </xf>
    <xf numFmtId="180" fontId="4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1" fontId="43" fillId="0" borderId="19" xfId="0" applyNumberFormat="1" applyFont="1" applyBorder="1" applyAlignment="1" applyProtection="1">
      <alignment horizontal="right"/>
      <protection locked="0"/>
    </xf>
    <xf numFmtId="1" fontId="43" fillId="0" borderId="19" xfId="0" applyNumberFormat="1" applyFont="1" applyBorder="1" applyAlignment="1" applyProtection="1">
      <alignment horizontal="center"/>
      <protection locked="0"/>
    </xf>
    <xf numFmtId="181" fontId="43" fillId="22" borderId="10" xfId="0" applyNumberFormat="1" applyFont="1" applyFill="1" applyBorder="1" applyAlignment="1" applyProtection="1">
      <alignment horizontal="right"/>
      <protection locked="0"/>
    </xf>
    <xf numFmtId="3" fontId="43" fillId="17" borderId="10" xfId="0" applyNumberFormat="1" applyFont="1" applyFill="1" applyBorder="1" applyAlignment="1" applyProtection="1">
      <alignment horizontal="right"/>
      <protection locked="0"/>
    </xf>
    <xf numFmtId="4" fontId="43" fillId="17" borderId="10" xfId="0" applyNumberFormat="1" applyFont="1" applyFill="1" applyBorder="1" applyAlignment="1" applyProtection="1">
      <alignment horizontal="right"/>
      <protection locked="0"/>
    </xf>
    <xf numFmtId="191" fontId="43" fillId="17" borderId="10" xfId="0" applyNumberFormat="1" applyFont="1" applyFill="1" applyBorder="1" applyAlignment="1" applyProtection="1">
      <alignment horizontal="right"/>
      <protection locked="0"/>
    </xf>
    <xf numFmtId="191" fontId="43" fillId="17" borderId="19" xfId="0" applyNumberFormat="1" applyFont="1" applyFill="1" applyBorder="1" applyAlignment="1" applyProtection="1">
      <alignment horizontal="right"/>
      <protection locked="0"/>
    </xf>
    <xf numFmtId="181" fontId="43" fillId="0" borderId="10" xfId="0" applyNumberFormat="1" applyFont="1" applyBorder="1" applyAlignment="1" applyProtection="1">
      <alignment horizontal="right"/>
      <protection locked="0"/>
    </xf>
    <xf numFmtId="3" fontId="43" fillId="0" borderId="10" xfId="0" applyNumberFormat="1" applyFont="1" applyFill="1" applyBorder="1" applyAlignment="1" applyProtection="1">
      <alignment horizontal="right"/>
      <protection locked="0"/>
    </xf>
    <xf numFmtId="3" fontId="43" fillId="24" borderId="13" xfId="0" applyNumberFormat="1" applyFont="1" applyFill="1" applyBorder="1" applyAlignment="1" applyProtection="1">
      <alignment horizontal="right"/>
      <protection locked="0"/>
    </xf>
    <xf numFmtId="1" fontId="43" fillId="0" borderId="19" xfId="0" applyNumberFormat="1" applyFont="1" applyFill="1" applyBorder="1" applyAlignment="1" applyProtection="1">
      <alignment horizontal="center"/>
      <protection locked="0"/>
    </xf>
    <xf numFmtId="3" fontId="45" fillId="17" borderId="10" xfId="0" applyNumberFormat="1" applyFont="1" applyFill="1" applyBorder="1" applyAlignment="1" applyProtection="1">
      <alignment horizontal="right"/>
      <protection locked="0"/>
    </xf>
    <xf numFmtId="181" fontId="43" fillId="22" borderId="10" xfId="0" applyNumberFormat="1" applyFont="1" applyFill="1" applyBorder="1" applyAlignment="1" applyProtection="1">
      <alignment/>
      <protection locked="0"/>
    </xf>
    <xf numFmtId="3" fontId="43" fillId="17" borderId="19" xfId="0" applyNumberFormat="1" applyFont="1" applyFill="1" applyBorder="1" applyAlignment="1" applyProtection="1">
      <alignment horizontal="right"/>
      <protection locked="0"/>
    </xf>
    <xf numFmtId="3" fontId="43" fillId="17" borderId="15" xfId="0" applyNumberFormat="1" applyFont="1" applyFill="1" applyBorder="1" applyAlignment="1" applyProtection="1">
      <alignment horizontal="right"/>
      <protection locked="0"/>
    </xf>
    <xf numFmtId="2" fontId="43" fillId="0" borderId="0" xfId="0" applyNumberFormat="1" applyFont="1" applyAlignment="1" applyProtection="1">
      <alignment/>
      <protection locked="0"/>
    </xf>
    <xf numFmtId="2" fontId="43" fillId="0" borderId="0" xfId="0" applyNumberFormat="1" applyFont="1" applyBorder="1" applyAlignment="1" applyProtection="1">
      <alignment/>
      <protection locked="0"/>
    </xf>
    <xf numFmtId="1" fontId="43" fillId="24" borderId="10" xfId="0" applyNumberFormat="1" applyFont="1" applyFill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/>
      <protection locked="0"/>
    </xf>
    <xf numFmtId="0" fontId="44" fillId="17" borderId="10" xfId="0" applyFont="1" applyFill="1" applyBorder="1" applyAlignment="1" applyProtection="1">
      <alignment/>
      <protection locked="0"/>
    </xf>
    <xf numFmtId="180" fontId="43" fillId="0" borderId="10" xfId="0" applyNumberFormat="1" applyFont="1" applyBorder="1" applyAlignment="1" applyProtection="1">
      <alignment/>
      <protection locked="0"/>
    </xf>
    <xf numFmtId="180" fontId="45" fillId="0" borderId="10" xfId="0" applyNumberFormat="1" applyFont="1" applyBorder="1" applyAlignment="1" applyProtection="1">
      <alignment/>
      <protection locked="0"/>
    </xf>
    <xf numFmtId="1" fontId="45" fillId="0" borderId="16" xfId="0" applyNumberFormat="1" applyFont="1" applyBorder="1" applyAlignment="1" applyProtection="1">
      <alignment/>
      <protection locked="0"/>
    </xf>
    <xf numFmtId="3" fontId="45" fillId="0" borderId="10" xfId="0" applyNumberFormat="1" applyFont="1" applyBorder="1" applyAlignment="1" applyProtection="1">
      <alignment/>
      <protection locked="0"/>
    </xf>
    <xf numFmtId="3" fontId="43" fillId="17" borderId="15" xfId="0" applyNumberFormat="1" applyFont="1" applyFill="1" applyBorder="1" applyAlignment="1" applyProtection="1">
      <alignment/>
      <protection locked="0"/>
    </xf>
    <xf numFmtId="3" fontId="43" fillId="17" borderId="10" xfId="0" applyNumberFormat="1" applyFont="1" applyFill="1" applyBorder="1" applyAlignment="1" applyProtection="1">
      <alignment/>
      <protection locked="0"/>
    </xf>
    <xf numFmtId="3" fontId="45" fillId="17" borderId="10" xfId="0" applyNumberFormat="1" applyFont="1" applyFill="1" applyBorder="1" applyAlignment="1" applyProtection="1">
      <alignment/>
      <protection locked="0"/>
    </xf>
    <xf numFmtId="4" fontId="43" fillId="17" borderId="10" xfId="0" applyNumberFormat="1" applyFont="1" applyFill="1" applyBorder="1" applyAlignment="1" applyProtection="1">
      <alignment/>
      <protection locked="0"/>
    </xf>
    <xf numFmtId="3" fontId="43" fillId="17" borderId="10" xfId="0" applyNumberFormat="1" applyFont="1" applyFill="1" applyBorder="1" applyAlignment="1" applyProtection="1">
      <alignment horizontal="centerContinuous"/>
      <protection locked="0"/>
    </xf>
    <xf numFmtId="3" fontId="45" fillId="17" borderId="10" xfId="0" applyNumberFormat="1" applyFont="1" applyFill="1" applyBorder="1" applyAlignment="1" applyProtection="1">
      <alignment/>
      <protection locked="0"/>
    </xf>
    <xf numFmtId="3" fontId="45" fillId="17" borderId="16" xfId="0" applyNumberFormat="1" applyFont="1" applyFill="1" applyBorder="1" applyAlignment="1" applyProtection="1">
      <alignment/>
      <protection locked="0"/>
    </xf>
    <xf numFmtId="3" fontId="43" fillId="0" borderId="15" xfId="0" applyNumberFormat="1" applyFont="1" applyBorder="1" applyAlignment="1" applyProtection="1">
      <alignment horizontal="centerContinuous"/>
      <protection locked="0"/>
    </xf>
    <xf numFmtId="1" fontId="43" fillId="0" borderId="10" xfId="0" applyNumberFormat="1" applyFont="1" applyBorder="1" applyAlignment="1" applyProtection="1">
      <alignment horizontal="centerContinuous"/>
      <protection locked="0"/>
    </xf>
    <xf numFmtId="1" fontId="45" fillId="0" borderId="10" xfId="0" applyNumberFormat="1" applyFont="1" applyBorder="1" applyAlignment="1" applyProtection="1">
      <alignment/>
      <protection locked="0"/>
    </xf>
    <xf numFmtId="3" fontId="45" fillId="0" borderId="10" xfId="0" applyNumberFormat="1" applyFont="1" applyBorder="1" applyAlignment="1" applyProtection="1">
      <alignment/>
      <protection locked="0"/>
    </xf>
    <xf numFmtId="3" fontId="45" fillId="0" borderId="13" xfId="0" applyNumberFormat="1" applyFont="1" applyBorder="1" applyAlignment="1" applyProtection="1">
      <alignment horizontal="right"/>
      <protection locked="0"/>
    </xf>
    <xf numFmtId="3" fontId="45" fillId="0" borderId="13" xfId="0" applyNumberFormat="1" applyFont="1" applyBorder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/>
      <protection locked="0"/>
    </xf>
    <xf numFmtId="0" fontId="44" fillId="17" borderId="10" xfId="0" applyFont="1" applyFill="1" applyBorder="1" applyAlignment="1" applyProtection="1">
      <alignment/>
      <protection locked="0"/>
    </xf>
    <xf numFmtId="1" fontId="48" fillId="0" borderId="10" xfId="0" applyNumberFormat="1" applyFont="1" applyBorder="1" applyAlignment="1" applyProtection="1">
      <alignment/>
      <protection locked="0"/>
    </xf>
    <xf numFmtId="1" fontId="48" fillId="0" borderId="16" xfId="0" applyNumberFormat="1" applyFont="1" applyBorder="1" applyAlignment="1" applyProtection="1">
      <alignment/>
      <protection locked="0"/>
    </xf>
    <xf numFmtId="3" fontId="43" fillId="17" borderId="15" xfId="0" applyNumberFormat="1" applyFont="1" applyFill="1" applyBorder="1" applyAlignment="1" applyProtection="1">
      <alignment/>
      <protection locked="0"/>
    </xf>
    <xf numFmtId="3" fontId="43" fillId="17" borderId="10" xfId="0" applyNumberFormat="1" applyFont="1" applyFill="1" applyBorder="1" applyAlignment="1" applyProtection="1">
      <alignment/>
      <protection locked="0"/>
    </xf>
    <xf numFmtId="4" fontId="43" fillId="17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180" fontId="4" fillId="0" borderId="10" xfId="0" applyNumberFormat="1" applyFont="1" applyBorder="1" applyAlignment="1" applyProtection="1">
      <alignment/>
      <protection locked="0"/>
    </xf>
    <xf numFmtId="0" fontId="48" fillId="25" borderId="10" xfId="0" applyFont="1" applyFill="1" applyBorder="1" applyAlignment="1" applyProtection="1">
      <alignment/>
      <protection locked="0"/>
    </xf>
    <xf numFmtId="0" fontId="44" fillId="25" borderId="10" xfId="0" applyFont="1" applyFill="1" applyBorder="1" applyAlignment="1" applyProtection="1">
      <alignment vertical="center"/>
      <protection locked="0"/>
    </xf>
    <xf numFmtId="0" fontId="48" fillId="17" borderId="10" xfId="0" applyFont="1" applyFill="1" applyBorder="1" applyAlignment="1" applyProtection="1">
      <alignment/>
      <protection locked="0"/>
    </xf>
    <xf numFmtId="0" fontId="48" fillId="0" borderId="17" xfId="0" applyFont="1" applyFill="1" applyBorder="1" applyAlignment="1" applyProtection="1">
      <alignment/>
      <protection locked="0"/>
    </xf>
    <xf numFmtId="3" fontId="48" fillId="0" borderId="17" xfId="0" applyNumberFormat="1" applyFont="1" applyFill="1" applyBorder="1" applyAlignment="1" applyProtection="1">
      <alignment/>
      <protection locked="0"/>
    </xf>
    <xf numFmtId="3" fontId="48" fillId="25" borderId="17" xfId="0" applyNumberFormat="1" applyFont="1" applyFill="1" applyBorder="1" applyAlignment="1" applyProtection="1">
      <alignment/>
      <protection locked="0"/>
    </xf>
    <xf numFmtId="180" fontId="48" fillId="0" borderId="26" xfId="0" applyNumberFormat="1" applyFont="1" applyFill="1" applyBorder="1" applyAlignment="1" applyProtection="1">
      <alignment/>
      <protection locked="0"/>
    </xf>
    <xf numFmtId="3" fontId="48" fillId="11" borderId="17" xfId="0" applyNumberFormat="1" applyFont="1" applyFill="1" applyBorder="1" applyAlignment="1" applyProtection="1">
      <alignment/>
      <protection locked="0"/>
    </xf>
    <xf numFmtId="1" fontId="48" fillId="11" borderId="17" xfId="0" applyNumberFormat="1" applyFont="1" applyFill="1" applyBorder="1" applyAlignment="1" applyProtection="1">
      <alignment/>
      <protection locked="0"/>
    </xf>
    <xf numFmtId="0" fontId="48" fillId="11" borderId="17" xfId="0" applyFont="1" applyFill="1" applyBorder="1" applyAlignment="1" applyProtection="1">
      <alignment/>
      <protection locked="0"/>
    </xf>
    <xf numFmtId="3" fontId="45" fillId="11" borderId="17" xfId="0" applyNumberFormat="1" applyFont="1" applyFill="1" applyBorder="1" applyAlignment="1" applyProtection="1">
      <alignment/>
      <protection locked="0"/>
    </xf>
    <xf numFmtId="0" fontId="48" fillId="17" borderId="18" xfId="0" applyFont="1" applyFill="1" applyBorder="1" applyAlignment="1" applyProtection="1">
      <alignment/>
      <protection locked="0"/>
    </xf>
    <xf numFmtId="181" fontId="48" fillId="17" borderId="17" xfId="0" applyNumberFormat="1" applyFont="1" applyFill="1" applyBorder="1" applyAlignment="1" applyProtection="1">
      <alignment/>
      <protection locked="0"/>
    </xf>
    <xf numFmtId="181" fontId="48" fillId="17" borderId="17" xfId="0" applyNumberFormat="1" applyFont="1" applyFill="1" applyBorder="1" applyAlignment="1" applyProtection="1">
      <alignment horizontal="center"/>
      <protection locked="0"/>
    </xf>
    <xf numFmtId="2" fontId="48" fillId="17" borderId="17" xfId="0" applyNumberFormat="1" applyFont="1" applyFill="1" applyBorder="1" applyAlignment="1" applyProtection="1">
      <alignment/>
      <protection locked="0"/>
    </xf>
    <xf numFmtId="3" fontId="48" fillId="17" borderId="17" xfId="0" applyNumberFormat="1" applyFont="1" applyFill="1" applyBorder="1" applyAlignment="1" applyProtection="1">
      <alignment horizontal="center"/>
      <protection locked="0"/>
    </xf>
    <xf numFmtId="3" fontId="48" fillId="17" borderId="26" xfId="0" applyNumberFormat="1" applyFont="1" applyFill="1" applyBorder="1" applyAlignment="1" applyProtection="1">
      <alignment horizontal="center"/>
      <protection locked="0"/>
    </xf>
    <xf numFmtId="3" fontId="48" fillId="25" borderId="18" xfId="0" applyNumberFormat="1" applyFont="1" applyFill="1" applyBorder="1" applyAlignment="1" applyProtection="1">
      <alignment/>
      <protection locked="0"/>
    </xf>
    <xf numFmtId="181" fontId="48" fillId="25" borderId="17" xfId="0" applyNumberFormat="1" applyFont="1" applyFill="1" applyBorder="1" applyAlignment="1" applyProtection="1">
      <alignment/>
      <protection locked="0"/>
    </xf>
    <xf numFmtId="1" fontId="48" fillId="25" borderId="17" xfId="0" applyNumberFormat="1" applyFont="1" applyFill="1" applyBorder="1" applyAlignment="1" applyProtection="1">
      <alignment/>
      <protection locked="0"/>
    </xf>
    <xf numFmtId="3" fontId="43" fillId="25" borderId="32" xfId="0" applyNumberFormat="1" applyFont="1" applyFill="1" applyBorder="1" applyAlignment="1" applyProtection="1">
      <alignment horizontal="center" vertical="center"/>
      <protection locked="0"/>
    </xf>
    <xf numFmtId="3" fontId="43" fillId="25" borderId="27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 applyProtection="1">
      <alignment/>
      <protection locked="0"/>
    </xf>
    <xf numFmtId="3" fontId="45" fillId="0" borderId="0" xfId="0" applyNumberFormat="1" applyFont="1" applyAlignment="1" applyProtection="1">
      <alignment/>
      <protection locked="0"/>
    </xf>
    <xf numFmtId="181" fontId="45" fillId="0" borderId="0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3" fontId="43" fillId="0" borderId="0" xfId="0" applyNumberFormat="1" applyFont="1" applyAlignment="1" applyProtection="1">
      <alignment/>
      <protection locked="0"/>
    </xf>
    <xf numFmtId="1" fontId="43" fillId="0" borderId="0" xfId="0" applyNumberFormat="1" applyFont="1" applyAlignment="1" applyProtection="1">
      <alignment/>
      <protection locked="0"/>
    </xf>
    <xf numFmtId="181" fontId="43" fillId="0" borderId="0" xfId="0" applyNumberFormat="1" applyFont="1" applyAlignment="1" applyProtection="1">
      <alignment/>
      <protection locked="0"/>
    </xf>
    <xf numFmtId="0" fontId="43" fillId="11" borderId="0" xfId="0" applyFont="1" applyFill="1" applyAlignment="1" applyProtection="1">
      <alignment/>
      <protection locked="0"/>
    </xf>
    <xf numFmtId="181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3" fontId="43" fillId="0" borderId="0" xfId="0" applyNumberFormat="1" applyFont="1" applyBorder="1" applyAlignment="1" applyProtection="1">
      <alignment/>
      <protection locked="0"/>
    </xf>
    <xf numFmtId="3" fontId="43" fillId="0" borderId="0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Alignment="1" applyProtection="1">
      <alignment/>
      <protection locked="0"/>
    </xf>
    <xf numFmtId="3" fontId="43" fillId="8" borderId="0" xfId="0" applyNumberFormat="1" applyFont="1" applyFill="1" applyAlignment="1" applyProtection="1">
      <alignment horizontal="left" vertical="center"/>
      <protection locked="0"/>
    </xf>
    <xf numFmtId="0" fontId="43" fillId="8" borderId="0" xfId="0" applyFont="1" applyFill="1" applyAlignment="1" applyProtection="1">
      <alignment horizontal="left" vertical="center"/>
      <protection locked="0"/>
    </xf>
    <xf numFmtId="3" fontId="43" fillId="10" borderId="0" xfId="0" applyNumberFormat="1" applyFont="1" applyFill="1" applyAlignment="1" applyProtection="1">
      <alignment horizontal="left" vertical="center"/>
      <protection locked="0"/>
    </xf>
    <xf numFmtId="0" fontId="43" fillId="10" borderId="0" xfId="0" applyFont="1" applyFill="1" applyAlignment="1" applyProtection="1">
      <alignment horizontal="left" vertical="center"/>
      <protection locked="0"/>
    </xf>
    <xf numFmtId="180" fontId="43" fillId="10" borderId="0" xfId="0" applyNumberFormat="1" applyFont="1" applyFill="1" applyBorder="1" applyAlignment="1" applyProtection="1">
      <alignment horizontal="center" vertical="center" wrapText="1"/>
      <protection locked="0"/>
    </xf>
    <xf numFmtId="181" fontId="43" fillId="10" borderId="0" xfId="0" applyNumberFormat="1" applyFont="1" applyFill="1" applyBorder="1" applyAlignment="1" applyProtection="1">
      <alignment/>
      <protection locked="0"/>
    </xf>
    <xf numFmtId="0" fontId="43" fillId="10" borderId="0" xfId="0" applyFont="1" applyFill="1" applyAlignment="1" applyProtection="1">
      <alignment/>
      <protection locked="0"/>
    </xf>
    <xf numFmtId="3" fontId="48" fillId="10" borderId="0" xfId="0" applyNumberFormat="1" applyFont="1" applyFill="1" applyBorder="1" applyAlignment="1" applyProtection="1">
      <alignment/>
      <protection locked="0"/>
    </xf>
    <xf numFmtId="0" fontId="43" fillId="5" borderId="0" xfId="0" applyFont="1" applyFill="1" applyBorder="1" applyAlignment="1" applyProtection="1">
      <alignment/>
      <protection locked="0"/>
    </xf>
    <xf numFmtId="0" fontId="43" fillId="5" borderId="0" xfId="0" applyFont="1" applyFill="1" applyAlignment="1" applyProtection="1">
      <alignment horizontal="left" vertical="center"/>
      <protection locked="0"/>
    </xf>
    <xf numFmtId="0" fontId="43" fillId="5" borderId="0" xfId="0" applyFont="1" applyFill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1" fontId="45" fillId="0" borderId="0" xfId="0" applyNumberFormat="1" applyFont="1" applyFill="1" applyBorder="1" applyAlignment="1" applyProtection="1">
      <alignment/>
      <protection locked="0"/>
    </xf>
    <xf numFmtId="1" fontId="48" fillId="0" borderId="0" xfId="0" applyNumberFormat="1" applyFont="1" applyFill="1" applyBorder="1" applyAlignment="1" applyProtection="1">
      <alignment/>
      <protection locked="0"/>
    </xf>
    <xf numFmtId="1" fontId="49" fillId="0" borderId="0" xfId="0" applyNumberFormat="1" applyFont="1" applyFill="1" applyBorder="1" applyAlignment="1" applyProtection="1">
      <alignment/>
      <protection locked="0"/>
    </xf>
    <xf numFmtId="181" fontId="48" fillId="0" borderId="0" xfId="0" applyNumberFormat="1" applyFont="1" applyFill="1" applyBorder="1" applyAlignment="1" applyProtection="1">
      <alignment/>
      <protection locked="0"/>
    </xf>
    <xf numFmtId="0" fontId="45" fillId="17" borderId="19" xfId="0" applyFont="1" applyFill="1" applyBorder="1" applyAlignment="1" applyProtection="1">
      <alignment horizontal="center" vertical="center" textRotation="90" wrapText="1"/>
      <protection locked="0"/>
    </xf>
    <xf numFmtId="1" fontId="45" fillId="17" borderId="19" xfId="0" applyNumberFormat="1" applyFont="1" applyFill="1" applyBorder="1" applyAlignment="1" applyProtection="1">
      <alignment horizontal="center" vertical="center"/>
      <protection locked="0"/>
    </xf>
    <xf numFmtId="181" fontId="45" fillId="17" borderId="19" xfId="0" applyNumberFormat="1" applyFont="1" applyFill="1" applyBorder="1" applyAlignment="1" applyProtection="1">
      <alignment horizontal="center" vertical="center"/>
      <protection locked="0"/>
    </xf>
    <xf numFmtId="181" fontId="4" fillId="22" borderId="15" xfId="0" applyNumberFormat="1" applyFont="1" applyFill="1" applyBorder="1" applyAlignment="1" applyProtection="1">
      <alignment horizontal="center" vertical="center"/>
      <protection locked="0"/>
    </xf>
    <xf numFmtId="3" fontId="48" fillId="11" borderId="17" xfId="0" applyNumberFormat="1" applyFont="1" applyFill="1" applyBorder="1" applyAlignment="1" applyProtection="1">
      <alignment horizontal="right"/>
      <protection locked="0"/>
    </xf>
    <xf numFmtId="186" fontId="4" fillId="22" borderId="34" xfId="0" applyNumberFormat="1" applyFont="1" applyFill="1" applyBorder="1" applyAlignment="1" applyProtection="1">
      <alignment horizontal="center" vertical="center"/>
      <protection/>
    </xf>
    <xf numFmtId="1" fontId="43" fillId="17" borderId="15" xfId="0" applyNumberFormat="1" applyFont="1" applyFill="1" applyBorder="1" applyAlignment="1" applyProtection="1">
      <alignment vertical="center"/>
      <protection locked="0"/>
    </xf>
    <xf numFmtId="180" fontId="43" fillId="17" borderId="10" xfId="0" applyNumberFormat="1" applyFont="1" applyFill="1" applyBorder="1" applyAlignment="1" applyProtection="1">
      <alignment vertical="center"/>
      <protection locked="0"/>
    </xf>
    <xf numFmtId="3" fontId="43" fillId="17" borderId="10" xfId="0" applyNumberFormat="1" applyFont="1" applyFill="1" applyBorder="1" applyAlignment="1" applyProtection="1">
      <alignment vertical="center"/>
      <protection locked="0"/>
    </xf>
    <xf numFmtId="3" fontId="43" fillId="17" borderId="16" xfId="0" applyNumberFormat="1" applyFont="1" applyFill="1" applyBorder="1" applyAlignment="1" applyProtection="1">
      <alignment vertical="center"/>
      <protection locked="0"/>
    </xf>
    <xf numFmtId="180" fontId="43" fillId="22" borderId="10" xfId="0" applyNumberFormat="1" applyFont="1" applyFill="1" applyBorder="1" applyAlignment="1" applyProtection="1">
      <alignment horizontal="right" vertical="center"/>
      <protection locked="0"/>
    </xf>
    <xf numFmtId="1" fontId="43" fillId="17" borderId="17" xfId="0" applyNumberFormat="1" applyFont="1" applyFill="1" applyBorder="1" applyAlignment="1" applyProtection="1">
      <alignment horizontal="center" vertical="center"/>
      <protection locked="0"/>
    </xf>
    <xf numFmtId="3" fontId="43" fillId="0" borderId="0" xfId="0" applyNumberFormat="1" applyFont="1" applyFill="1" applyBorder="1" applyAlignment="1" applyProtection="1">
      <alignment horizontal="center" vertical="center"/>
      <protection locked="0"/>
    </xf>
    <xf numFmtId="182" fontId="43" fillId="17" borderId="10" xfId="0" applyNumberFormat="1" applyFont="1" applyFill="1" applyBorder="1" applyAlignment="1" applyProtection="1">
      <alignment horizontal="center"/>
      <protection locked="0"/>
    </xf>
    <xf numFmtId="180" fontId="4" fillId="17" borderId="10" xfId="0" applyNumberFormat="1" applyFont="1" applyFill="1" applyBorder="1" applyAlignment="1" applyProtection="1">
      <alignment horizontal="center"/>
      <protection locked="0"/>
    </xf>
    <xf numFmtId="3" fontId="43" fillId="17" borderId="16" xfId="0" applyNumberFormat="1" applyFont="1" applyFill="1" applyBorder="1" applyAlignment="1" applyProtection="1">
      <alignment horizontal="right"/>
      <protection locked="0"/>
    </xf>
    <xf numFmtId="3" fontId="45" fillId="0" borderId="13" xfId="0" applyNumberFormat="1" applyFont="1" applyFill="1" applyBorder="1" applyAlignment="1" applyProtection="1">
      <alignment horizontal="right"/>
      <protection locked="0"/>
    </xf>
    <xf numFmtId="1" fontId="43" fillId="0" borderId="10" xfId="0" applyNumberFormat="1" applyFont="1" applyBorder="1" applyAlignment="1" applyProtection="1">
      <alignment horizontal="center"/>
      <protection locked="0"/>
    </xf>
    <xf numFmtId="1" fontId="43" fillId="17" borderId="19" xfId="0" applyNumberFormat="1" applyFont="1" applyFill="1" applyBorder="1" applyAlignment="1" applyProtection="1">
      <alignment horizontal="right" vertical="center"/>
      <protection locked="0"/>
    </xf>
    <xf numFmtId="3" fontId="43" fillId="17" borderId="15" xfId="0" applyNumberFormat="1" applyFont="1" applyFill="1" applyBorder="1" applyAlignment="1" applyProtection="1">
      <alignment vertical="center"/>
      <protection locked="0"/>
    </xf>
    <xf numFmtId="3" fontId="43" fillId="17" borderId="29" xfId="0" applyNumberFormat="1" applyFont="1" applyFill="1" applyBorder="1" applyAlignment="1" applyProtection="1">
      <alignment horizontal="right" vertical="center"/>
      <protection locked="0"/>
    </xf>
    <xf numFmtId="3" fontId="43" fillId="17" borderId="15" xfId="0" applyNumberFormat="1" applyFont="1" applyFill="1" applyBorder="1" applyAlignment="1" applyProtection="1">
      <alignment horizontal="right" vertical="center"/>
      <protection locked="0"/>
    </xf>
    <xf numFmtId="3" fontId="43" fillId="17" borderId="10" xfId="0" applyNumberFormat="1" applyFont="1" applyFill="1" applyBorder="1" applyAlignment="1" applyProtection="1">
      <alignment horizontal="right" vertical="center"/>
      <protection locked="0"/>
    </xf>
    <xf numFmtId="3" fontId="43" fillId="0" borderId="10" xfId="0" applyNumberFormat="1" applyFont="1" applyBorder="1" applyAlignment="1" applyProtection="1">
      <alignment horizontal="centerContinuous"/>
      <protection locked="0"/>
    </xf>
    <xf numFmtId="3" fontId="45" fillId="0" borderId="19" xfId="0" applyNumberFormat="1" applyFont="1" applyBorder="1" applyAlignment="1" applyProtection="1">
      <alignment/>
      <protection locked="0"/>
    </xf>
    <xf numFmtId="3" fontId="45" fillId="0" borderId="20" xfId="0" applyNumberFormat="1" applyFont="1" applyBorder="1" applyAlignment="1" applyProtection="1">
      <alignment horizontal="right"/>
      <protection locked="0"/>
    </xf>
    <xf numFmtId="2" fontId="43" fillId="0" borderId="35" xfId="0" applyNumberFormat="1" applyFont="1" applyFill="1" applyBorder="1" applyAlignment="1" applyProtection="1">
      <alignment/>
      <protection locked="0"/>
    </xf>
    <xf numFmtId="3" fontId="48" fillId="17" borderId="10" xfId="0" applyNumberFormat="1" applyFont="1" applyFill="1" applyBorder="1" applyAlignment="1" applyProtection="1">
      <alignment/>
      <protection locked="0"/>
    </xf>
    <xf numFmtId="3" fontId="48" fillId="17" borderId="10" xfId="0" applyNumberFormat="1" applyFont="1" applyFill="1" applyBorder="1" applyAlignment="1" applyProtection="1">
      <alignment horizontal="center"/>
      <protection locked="0"/>
    </xf>
    <xf numFmtId="3" fontId="43" fillId="17" borderId="19" xfId="0" applyNumberFormat="1" applyFont="1" applyFill="1" applyBorder="1" applyAlignment="1" applyProtection="1">
      <alignment horizontal="center"/>
      <protection locked="0"/>
    </xf>
    <xf numFmtId="1" fontId="45" fillId="0" borderId="10" xfId="0" applyNumberFormat="1" applyFont="1" applyBorder="1" applyAlignment="1" applyProtection="1">
      <alignment horizontal="center"/>
      <protection locked="0"/>
    </xf>
    <xf numFmtId="3" fontId="45" fillId="0" borderId="10" xfId="0" applyNumberFormat="1" applyFont="1" applyFill="1" applyBorder="1" applyAlignment="1" applyProtection="1">
      <alignment/>
      <protection locked="0"/>
    </xf>
    <xf numFmtId="3" fontId="43" fillId="0" borderId="10" xfId="0" applyNumberFormat="1" applyFont="1" applyFill="1" applyBorder="1" applyAlignment="1" applyProtection="1">
      <alignment horizontal="centerContinuous"/>
      <protection locked="0"/>
    </xf>
    <xf numFmtId="3" fontId="45" fillId="11" borderId="13" xfId="0" applyNumberFormat="1" applyFont="1" applyFill="1" applyBorder="1" applyAlignment="1" applyProtection="1">
      <alignment horizontal="right"/>
      <protection locked="0"/>
    </xf>
    <xf numFmtId="3" fontId="49" fillId="17" borderId="15" xfId="0" applyNumberFormat="1" applyFont="1" applyFill="1" applyBorder="1" applyAlignment="1" applyProtection="1">
      <alignment/>
      <protection locked="0"/>
    </xf>
    <xf numFmtId="3" fontId="49" fillId="17" borderId="10" xfId="0" applyNumberFormat="1" applyFont="1" applyFill="1" applyBorder="1" applyAlignment="1" applyProtection="1">
      <alignment/>
      <protection locked="0"/>
    </xf>
    <xf numFmtId="4" fontId="49" fillId="17" borderId="10" xfId="0" applyNumberFormat="1" applyFont="1" applyFill="1" applyBorder="1" applyAlignment="1" applyProtection="1">
      <alignment/>
      <protection locked="0"/>
    </xf>
    <xf numFmtId="3" fontId="49" fillId="17" borderId="16" xfId="0" applyNumberFormat="1" applyFont="1" applyFill="1" applyBorder="1" applyAlignment="1" applyProtection="1">
      <alignment/>
      <protection locked="0"/>
    </xf>
    <xf numFmtId="3" fontId="48" fillId="17" borderId="32" xfId="0" applyNumberFormat="1" applyFont="1" applyFill="1" applyBorder="1" applyAlignment="1" applyProtection="1">
      <alignment horizontal="center"/>
      <protection locked="0"/>
    </xf>
    <xf numFmtId="3" fontId="48" fillId="25" borderId="17" xfId="0" applyNumberFormat="1" applyFont="1" applyFill="1" applyBorder="1" applyAlignment="1" applyProtection="1">
      <alignment horizontal="center"/>
      <protection locked="0"/>
    </xf>
    <xf numFmtId="3" fontId="43" fillId="25" borderId="36" xfId="0" applyNumberFormat="1" applyFont="1" applyFill="1" applyBorder="1" applyAlignment="1" applyProtection="1">
      <alignment horizontal="center"/>
      <protection locked="0"/>
    </xf>
    <xf numFmtId="3" fontId="45" fillId="0" borderId="0" xfId="0" applyNumberFormat="1" applyFont="1" applyFill="1" applyBorder="1" applyAlignment="1" applyProtection="1">
      <alignment horizontal="center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1" fontId="32" fillId="24" borderId="15" xfId="0" applyNumberFormat="1" applyFont="1" applyFill="1" applyBorder="1" applyAlignment="1" applyProtection="1">
      <alignment horizontal="center" vertical="center"/>
      <protection/>
    </xf>
    <xf numFmtId="3" fontId="32" fillId="24" borderId="10" xfId="0" applyNumberFormat="1" applyFont="1" applyFill="1" applyBorder="1" applyAlignment="1" applyProtection="1">
      <alignment horizontal="center" vertical="center"/>
      <protection/>
    </xf>
    <xf numFmtId="3" fontId="32" fillId="24" borderId="16" xfId="0" applyNumberFormat="1" applyFont="1" applyFill="1" applyBorder="1" applyAlignment="1" applyProtection="1">
      <alignment horizontal="center" vertical="center"/>
      <protection locked="0"/>
    </xf>
    <xf numFmtId="3" fontId="32" fillId="24" borderId="19" xfId="0" applyNumberFormat="1" applyFont="1" applyFill="1" applyBorder="1" applyAlignment="1" applyProtection="1">
      <alignment horizontal="center" vertical="center"/>
      <protection/>
    </xf>
    <xf numFmtId="2" fontId="32" fillId="24" borderId="15" xfId="0" applyNumberFormat="1" applyFont="1" applyFill="1" applyBorder="1" applyAlignment="1" applyProtection="1">
      <alignment horizontal="center" vertical="center"/>
      <protection/>
    </xf>
    <xf numFmtId="3" fontId="32" fillId="24" borderId="10" xfId="0" applyNumberFormat="1" applyFont="1" applyFill="1" applyBorder="1" applyAlignment="1" applyProtection="1">
      <alignment horizontal="center" vertical="center" wrapText="1"/>
      <protection/>
    </xf>
    <xf numFmtId="3" fontId="32" fillId="24" borderId="16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43" fillId="0" borderId="0" xfId="0" applyNumberFormat="1" applyFont="1" applyFill="1" applyBorder="1" applyAlignment="1" applyProtection="1">
      <alignment vertical="center"/>
      <protection locked="0"/>
    </xf>
    <xf numFmtId="189" fontId="43" fillId="0" borderId="0" xfId="0" applyNumberFormat="1" applyFont="1" applyFill="1" applyAlignment="1" applyProtection="1">
      <alignment horizontal="left" vertical="center"/>
      <protection locked="0"/>
    </xf>
    <xf numFmtId="181" fontId="30" fillId="0" borderId="10" xfId="51" applyNumberFormat="1" applyFont="1" applyFill="1" applyBorder="1" applyAlignment="1" applyProtection="1">
      <alignment horizontal="right" vertical="center"/>
      <protection locked="0"/>
    </xf>
    <xf numFmtId="1" fontId="7" fillId="0" borderId="37" xfId="0" applyNumberFormat="1" applyFont="1" applyBorder="1" applyAlignment="1" applyProtection="1">
      <alignment horizontal="center" vertical="center"/>
      <protection locked="0"/>
    </xf>
    <xf numFmtId="0" fontId="7" fillId="23" borderId="38" xfId="0" applyFont="1" applyFill="1" applyBorder="1" applyAlignment="1" applyProtection="1">
      <alignment horizontal="left"/>
      <protection locked="0"/>
    </xf>
    <xf numFmtId="181" fontId="47" fillId="0" borderId="38" xfId="0" applyNumberFormat="1" applyFont="1" applyBorder="1" applyAlignment="1" applyProtection="1">
      <alignment vertical="center"/>
      <protection locked="0"/>
    </xf>
    <xf numFmtId="3" fontId="7" fillId="0" borderId="33" xfId="0" applyNumberFormat="1" applyFont="1" applyBorder="1" applyAlignment="1" applyProtection="1">
      <alignment vertical="center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1" fontId="45" fillId="17" borderId="19" xfId="0" applyNumberFormat="1" applyFont="1" applyFill="1" applyBorder="1" applyAlignment="1" applyProtection="1">
      <alignment vertical="center"/>
      <protection locked="0"/>
    </xf>
    <xf numFmtId="2" fontId="44" fillId="17" borderId="19" xfId="0" applyNumberFormat="1" applyFont="1" applyFill="1" applyBorder="1" applyAlignment="1" applyProtection="1">
      <alignment vertical="center"/>
      <protection locked="0"/>
    </xf>
    <xf numFmtId="0" fontId="51" fillId="17" borderId="19" xfId="84" applyFont="1" applyFill="1" applyBorder="1" applyAlignment="1" applyProtection="1">
      <alignment horizontal="right"/>
      <protection locked="0"/>
    </xf>
    <xf numFmtId="0" fontId="44" fillId="17" borderId="19" xfId="0" applyFont="1" applyFill="1" applyBorder="1" applyAlignment="1" applyProtection="1">
      <alignment/>
      <protection locked="0"/>
    </xf>
    <xf numFmtId="0" fontId="44" fillId="17" borderId="19" xfId="0" applyFont="1" applyFill="1" applyBorder="1" applyAlignment="1" applyProtection="1">
      <alignment/>
      <protection locked="0"/>
    </xf>
    <xf numFmtId="0" fontId="45" fillId="17" borderId="19" xfId="0" applyFont="1" applyFill="1" applyBorder="1" applyAlignment="1" applyProtection="1">
      <alignment/>
      <protection locked="0"/>
    </xf>
    <xf numFmtId="1" fontId="43" fillId="0" borderId="30" xfId="0" applyNumberFormat="1" applyFont="1" applyBorder="1" applyAlignment="1" applyProtection="1">
      <alignment horizontal="right"/>
      <protection locked="0"/>
    </xf>
    <xf numFmtId="180" fontId="45" fillId="0" borderId="30" xfId="0" applyNumberFormat="1" applyFont="1" applyBorder="1" applyAlignment="1" applyProtection="1">
      <alignment/>
      <protection locked="0"/>
    </xf>
    <xf numFmtId="180" fontId="45" fillId="0" borderId="30" xfId="0" applyNumberFormat="1" applyFont="1" applyBorder="1" applyAlignment="1" applyProtection="1">
      <alignment/>
      <protection locked="0"/>
    </xf>
    <xf numFmtId="3" fontId="48" fillId="11" borderId="39" xfId="0" applyNumberFormat="1" applyFont="1" applyFill="1" applyBorder="1" applyAlignment="1" applyProtection="1">
      <alignment/>
      <protection locked="0"/>
    </xf>
    <xf numFmtId="3" fontId="43" fillId="0" borderId="15" xfId="0" applyNumberFormat="1" applyFont="1" applyBorder="1" applyAlignment="1" applyProtection="1">
      <alignment/>
      <protection locked="0"/>
    </xf>
    <xf numFmtId="3" fontId="43" fillId="0" borderId="15" xfId="0" applyNumberFormat="1" applyFont="1" applyBorder="1" applyAlignment="1" applyProtection="1">
      <alignment/>
      <protection locked="0"/>
    </xf>
    <xf numFmtId="1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10" borderId="0" xfId="0" applyFont="1" applyFill="1" applyBorder="1" applyAlignment="1" applyProtection="1">
      <alignment horizontal="left" vertical="center"/>
      <protection locked="0"/>
    </xf>
    <xf numFmtId="1" fontId="43" fillId="11" borderId="0" xfId="0" applyNumberFormat="1" applyFont="1" applyFill="1" applyBorder="1" applyAlignment="1" applyProtection="1">
      <alignment vertical="center"/>
      <protection locked="0"/>
    </xf>
    <xf numFmtId="181" fontId="4" fillId="20" borderId="10" xfId="0" applyNumberFormat="1" applyFont="1" applyFill="1" applyBorder="1" applyAlignment="1" applyProtection="1">
      <alignment horizontal="center" vertical="center"/>
      <protection/>
    </xf>
    <xf numFmtId="0" fontId="43" fillId="25" borderId="13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8" fillId="25" borderId="10" xfId="0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1" fontId="48" fillId="4" borderId="10" xfId="0" applyNumberFormat="1" applyFont="1" applyFill="1" applyBorder="1" applyAlignment="1" applyProtection="1">
      <alignment/>
      <protection locked="0"/>
    </xf>
    <xf numFmtId="181" fontId="43" fillId="24" borderId="17" xfId="0" applyNumberFormat="1" applyFont="1" applyFill="1" applyBorder="1" applyAlignment="1" applyProtection="1">
      <alignment horizontal="center" vertical="center"/>
      <protection/>
    </xf>
    <xf numFmtId="0" fontId="11" fillId="22" borderId="20" xfId="0" applyFont="1" applyFill="1" applyBorder="1" applyAlignment="1" applyProtection="1">
      <alignment horizontal="centerContinuous" vertical="center" wrapText="1"/>
      <protection locked="0"/>
    </xf>
    <xf numFmtId="0" fontId="11" fillId="22" borderId="30" xfId="0" applyFont="1" applyFill="1" applyBorder="1" applyAlignment="1" applyProtection="1">
      <alignment horizontal="centerContinuous" vertical="center" wrapText="1"/>
      <protection locked="0"/>
    </xf>
    <xf numFmtId="180" fontId="45" fillId="17" borderId="13" xfId="0" applyNumberFormat="1" applyFont="1" applyFill="1" applyBorder="1" applyAlignment="1" applyProtection="1">
      <alignment horizontal="right" vertical="center"/>
      <protection locked="0"/>
    </xf>
    <xf numFmtId="180" fontId="45" fillId="17" borderId="27" xfId="0" applyNumberFormat="1" applyFont="1" applyFill="1" applyBorder="1" applyAlignment="1" applyProtection="1">
      <alignment horizontal="right" vertical="center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3" fontId="35" fillId="24" borderId="10" xfId="0" applyNumberFormat="1" applyFont="1" applyFill="1" applyBorder="1" applyAlignment="1" applyProtection="1">
      <alignment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/>
      <protection/>
    </xf>
    <xf numFmtId="3" fontId="36" fillId="24" borderId="10" xfId="0" applyNumberFormat="1" applyFont="1" applyFill="1" applyBorder="1" applyAlignment="1" applyProtection="1">
      <alignment horizontal="center"/>
      <protection/>
    </xf>
    <xf numFmtId="180" fontId="37" fillId="0" borderId="0" xfId="0" applyNumberFormat="1" applyFont="1" applyAlignment="1" applyProtection="1">
      <alignment horizontal="center"/>
      <protection/>
    </xf>
    <xf numFmtId="180" fontId="37" fillId="0" borderId="0" xfId="0" applyNumberFormat="1" applyFont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 locked="0"/>
    </xf>
    <xf numFmtId="0" fontId="36" fillId="11" borderId="40" xfId="0" applyFont="1" applyFill="1" applyBorder="1" applyAlignment="1" applyProtection="1">
      <alignment horizontal="center"/>
      <protection locked="0"/>
    </xf>
    <xf numFmtId="0" fontId="36" fillId="0" borderId="10" xfId="0" applyFont="1" applyBorder="1" applyAlignment="1">
      <alignment horizontal="center" vertical="center" wrapText="1"/>
    </xf>
    <xf numFmtId="1" fontId="35" fillId="24" borderId="10" xfId="0" applyNumberFormat="1" applyFont="1" applyFill="1" applyBorder="1" applyAlignment="1" applyProtection="1">
      <alignment horizontal="center"/>
      <protection/>
    </xf>
    <xf numFmtId="180" fontId="35" fillId="24" borderId="10" xfId="0" applyNumberFormat="1" applyFont="1" applyFill="1" applyBorder="1" applyAlignment="1" applyProtection="1">
      <alignment horizontal="left"/>
      <protection/>
    </xf>
    <xf numFmtId="187" fontId="35" fillId="24" borderId="10" xfId="93" applyNumberFormat="1" applyFont="1" applyFill="1" applyBorder="1" applyAlignment="1" applyProtection="1">
      <alignment/>
      <protection/>
    </xf>
    <xf numFmtId="0" fontId="36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Continuous" vertical="center" wrapText="1"/>
    </xf>
    <xf numFmtId="3" fontId="35" fillId="24" borderId="10" xfId="93" applyNumberFormat="1" applyFont="1" applyFill="1" applyBorder="1" applyAlignment="1" applyProtection="1">
      <alignment/>
      <protection/>
    </xf>
    <xf numFmtId="3" fontId="35" fillId="24" borderId="10" xfId="93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1" fontId="35" fillId="0" borderId="10" xfId="0" applyNumberFormat="1" applyFont="1" applyBorder="1" applyAlignment="1">
      <alignment/>
    </xf>
    <xf numFmtId="185" fontId="35" fillId="24" borderId="10" xfId="93" applyNumberFormat="1" applyFont="1" applyFill="1" applyBorder="1" applyAlignment="1">
      <alignment/>
    </xf>
    <xf numFmtId="10" fontId="35" fillId="24" borderId="10" xfId="93" applyNumberFormat="1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10" xfId="0" applyNumberFormat="1" applyFont="1" applyFill="1" applyBorder="1" applyAlignment="1" applyProtection="1">
      <alignment horizontal="center" vertical="center" wrapText="1"/>
      <protection locked="0"/>
    </xf>
    <xf numFmtId="183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184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171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171" fontId="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10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25" borderId="10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8" fillId="15" borderId="33" xfId="0" applyFont="1" applyFill="1" applyBorder="1" applyAlignment="1" applyProtection="1">
      <alignment horizontal="center" vertical="center"/>
      <protection locked="0"/>
    </xf>
    <xf numFmtId="3" fontId="9" fillId="24" borderId="41" xfId="0" applyNumberFormat="1" applyFont="1" applyFill="1" applyBorder="1" applyAlignment="1" applyProtection="1">
      <alignment/>
      <protection locked="0"/>
    </xf>
    <xf numFmtId="3" fontId="9" fillId="24" borderId="30" xfId="0" applyNumberFormat="1" applyFont="1" applyFill="1" applyBorder="1" applyAlignment="1" applyProtection="1">
      <alignment/>
      <protection locked="0"/>
    </xf>
    <xf numFmtId="0" fontId="26" fillId="8" borderId="10" xfId="51" applyFont="1" applyFill="1" applyBorder="1" applyAlignment="1" applyProtection="1">
      <alignment vertical="center" wrapText="1"/>
      <protection locked="0"/>
    </xf>
    <xf numFmtId="1" fontId="27" fillId="5" borderId="10" xfId="85" applyNumberFormat="1" applyFont="1" applyFill="1" applyBorder="1" applyAlignment="1" applyProtection="1">
      <alignment horizontal="left" vertical="center" wrapText="1"/>
      <protection locked="0"/>
    </xf>
    <xf numFmtId="3" fontId="3" fillId="5" borderId="10" xfId="0" applyNumberFormat="1" applyFont="1" applyFill="1" applyBorder="1" applyAlignment="1" applyProtection="1">
      <alignment vertical="center"/>
      <protection locked="0"/>
    </xf>
    <xf numFmtId="3" fontId="3" fillId="5" borderId="10" xfId="0" applyNumberFormat="1" applyFont="1" applyFill="1" applyBorder="1" applyAlignment="1" applyProtection="1">
      <alignment/>
      <protection locked="0"/>
    </xf>
    <xf numFmtId="3" fontId="9" fillId="5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24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10" borderId="10" xfId="0" applyFont="1" applyFill="1" applyBorder="1" applyAlignment="1" applyProtection="1">
      <alignment vertical="center"/>
      <protection locked="0"/>
    </xf>
    <xf numFmtId="183" fontId="7" fillId="10" borderId="10" xfId="0" applyNumberFormat="1" applyFont="1" applyFill="1" applyBorder="1" applyAlignment="1" applyProtection="1">
      <alignment/>
      <protection locked="0"/>
    </xf>
    <xf numFmtId="3" fontId="7" fillId="10" borderId="10" xfId="0" applyNumberFormat="1" applyFont="1" applyFill="1" applyBorder="1" applyAlignment="1" applyProtection="1">
      <alignment/>
      <protection locked="0"/>
    </xf>
    <xf numFmtId="3" fontId="7" fillId="10" borderId="10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3" fontId="41" fillId="0" borderId="0" xfId="0" applyNumberFormat="1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 wrapText="1"/>
      <protection locked="0"/>
    </xf>
    <xf numFmtId="3" fontId="41" fillId="0" borderId="33" xfId="0" applyNumberFormat="1" applyFont="1" applyBorder="1" applyAlignment="1" applyProtection="1">
      <alignment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82" fontId="7" fillId="0" borderId="33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3" fontId="7" fillId="0" borderId="33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3" fontId="7" fillId="8" borderId="10" xfId="0" applyNumberFormat="1" applyFont="1" applyFill="1" applyBorder="1" applyAlignment="1" applyProtection="1">
      <alignment vertical="center"/>
      <protection/>
    </xf>
    <xf numFmtId="1" fontId="7" fillId="8" borderId="10" xfId="0" applyNumberFormat="1" applyFont="1" applyFill="1" applyBorder="1" applyAlignment="1" applyProtection="1">
      <alignment vertical="center"/>
      <protection/>
    </xf>
    <xf numFmtId="182" fontId="7" fillId="5" borderId="10" xfId="0" applyNumberFormat="1" applyFont="1" applyFill="1" applyBorder="1" applyAlignment="1" applyProtection="1">
      <alignment vertical="center"/>
      <protection/>
    </xf>
    <xf numFmtId="3" fontId="7" fillId="5" borderId="10" xfId="0" applyNumberFormat="1" applyFont="1" applyFill="1" applyBorder="1" applyAlignment="1" applyProtection="1">
      <alignment vertical="center"/>
      <protection/>
    </xf>
    <xf numFmtId="3" fontId="7" fillId="24" borderId="10" xfId="0" applyNumberFormat="1" applyFont="1" applyFill="1" applyBorder="1" applyAlignment="1" applyProtection="1">
      <alignment vertical="center"/>
      <protection/>
    </xf>
    <xf numFmtId="182" fontId="7" fillId="24" borderId="10" xfId="0" applyNumberFormat="1" applyFont="1" applyFill="1" applyBorder="1" applyAlignment="1" applyProtection="1">
      <alignment vertical="center"/>
      <protection/>
    </xf>
    <xf numFmtId="186" fontId="41" fillId="0" borderId="0" xfId="0" applyNumberFormat="1" applyFont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3" fontId="43" fillId="24" borderId="13" xfId="0" applyNumberFormat="1" applyFont="1" applyFill="1" applyBorder="1" applyAlignment="1" applyProtection="1">
      <alignment vertical="center"/>
      <protection/>
    </xf>
    <xf numFmtId="189" fontId="4" fillId="24" borderId="17" xfId="0" applyNumberFormat="1" applyFont="1" applyFill="1" applyBorder="1" applyAlignment="1" applyProtection="1">
      <alignment vertical="center"/>
      <protection/>
    </xf>
    <xf numFmtId="3" fontId="43" fillId="22" borderId="26" xfId="0" applyNumberFormat="1" applyFont="1" applyFill="1" applyBorder="1" applyAlignment="1" applyProtection="1">
      <alignment horizontal="right" vertical="center"/>
      <protection/>
    </xf>
    <xf numFmtId="181" fontId="4" fillId="24" borderId="10" xfId="0" applyNumberFormat="1" applyFont="1" applyFill="1" applyBorder="1" applyAlignment="1" applyProtection="1">
      <alignment horizontal="center" vertical="center"/>
      <protection/>
    </xf>
    <xf numFmtId="181" fontId="43" fillId="24" borderId="10" xfId="0" applyNumberFormat="1" applyFont="1" applyFill="1" applyBorder="1" applyAlignment="1" applyProtection="1">
      <alignment vertical="center"/>
      <protection/>
    </xf>
    <xf numFmtId="181" fontId="43" fillId="24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3" fontId="43" fillId="24" borderId="10" xfId="0" applyNumberFormat="1" applyFont="1" applyFill="1" applyBorder="1" applyAlignment="1" applyProtection="1">
      <alignment horizontal="right"/>
      <protection locked="0"/>
    </xf>
    <xf numFmtId="3" fontId="49" fillId="0" borderId="10" xfId="0" applyNumberFormat="1" applyFont="1" applyBorder="1" applyAlignment="1" applyProtection="1">
      <alignment/>
      <protection locked="0"/>
    </xf>
    <xf numFmtId="1" fontId="43" fillId="24" borderId="10" xfId="0" applyNumberFormat="1" applyFont="1" applyFill="1" applyBorder="1" applyAlignment="1" applyProtection="1">
      <alignment vertical="center"/>
      <protection locked="0"/>
    </xf>
    <xf numFmtId="3" fontId="49" fillId="0" borderId="19" xfId="0" applyNumberFormat="1" applyFont="1" applyBorder="1" applyAlignment="1" applyProtection="1">
      <alignment/>
      <protection locked="0"/>
    </xf>
    <xf numFmtId="3" fontId="43" fillId="24" borderId="10" xfId="0" applyNumberFormat="1" applyFont="1" applyFill="1" applyBorder="1" applyAlignment="1" applyProtection="1">
      <alignment vertical="center"/>
      <protection locked="0"/>
    </xf>
    <xf numFmtId="181" fontId="43" fillId="22" borderId="10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3" fontId="43" fillId="22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3" fillId="0" borderId="42" xfId="0" applyFont="1" applyBorder="1" applyAlignment="1" applyProtection="1">
      <alignment horizontal="centerContinuous" vertical="center" wrapText="1"/>
      <protection locked="0"/>
    </xf>
    <xf numFmtId="0" fontId="43" fillId="0" borderId="28" xfId="0" applyFont="1" applyBorder="1" applyAlignment="1" applyProtection="1">
      <alignment horizontal="centerContinuous" vertical="center" wrapText="1"/>
      <protection locked="0"/>
    </xf>
    <xf numFmtId="0" fontId="43" fillId="0" borderId="43" xfId="0" applyFont="1" applyBorder="1" applyAlignment="1" applyProtection="1">
      <alignment horizontal="centerContinuous" vertical="center" wrapText="1"/>
      <protection locked="0"/>
    </xf>
    <xf numFmtId="3" fontId="4" fillId="24" borderId="25" xfId="0" applyNumberFormat="1" applyFont="1" applyFill="1" applyBorder="1" applyAlignment="1" applyProtection="1">
      <alignment horizontal="center" vertical="center"/>
      <protection/>
    </xf>
    <xf numFmtId="0" fontId="43" fillId="22" borderId="29" xfId="0" applyFont="1" applyFill="1" applyBorder="1" applyAlignment="1" applyProtection="1">
      <alignment horizontal="centerContinuous" vertical="center" wrapText="1"/>
      <protection locked="0"/>
    </xf>
    <xf numFmtId="1" fontId="43" fillId="11" borderId="16" xfId="0" applyNumberFormat="1" applyFont="1" applyFill="1" applyBorder="1" applyAlignment="1" applyProtection="1">
      <alignment horizontal="center" vertical="center"/>
      <protection locked="0"/>
    </xf>
    <xf numFmtId="0" fontId="43" fillId="0" borderId="29" xfId="0" applyFont="1" applyBorder="1" applyAlignment="1" applyProtection="1">
      <alignment horizontal="centerContinuous" vertical="center" wrapText="1"/>
      <protection locked="0"/>
    </xf>
    <xf numFmtId="3" fontId="4" fillId="24" borderId="16" xfId="0" applyNumberFormat="1" applyFont="1" applyFill="1" applyBorder="1" applyAlignment="1" applyProtection="1">
      <alignment horizontal="center" vertical="center" wrapText="1"/>
      <protection/>
    </xf>
    <xf numFmtId="190" fontId="6" fillId="3" borderId="16" xfId="93" applyNumberFormat="1" applyFont="1" applyFill="1" applyBorder="1" applyAlignment="1" applyProtection="1">
      <alignment horizontal="center" vertical="center" wrapText="1"/>
      <protection/>
    </xf>
    <xf numFmtId="0" fontId="43" fillId="0" borderId="31" xfId="0" applyFont="1" applyBorder="1" applyAlignment="1" applyProtection="1">
      <alignment horizontal="centerContinuous" vertical="center" wrapText="1"/>
      <protection locked="0"/>
    </xf>
    <xf numFmtId="0" fontId="11" fillId="0" borderId="44" xfId="0" applyFont="1" applyFill="1" applyBorder="1" applyAlignment="1" applyProtection="1">
      <alignment horizontal="centerContinuous" vertical="center" wrapText="1"/>
      <protection locked="0"/>
    </xf>
    <xf numFmtId="0" fontId="11" fillId="0" borderId="39" xfId="0" applyFont="1" applyFill="1" applyBorder="1" applyAlignment="1" applyProtection="1">
      <alignment horizontal="centerContinuous" vertical="center" wrapText="1"/>
      <protection locked="0"/>
    </xf>
    <xf numFmtId="3" fontId="7" fillId="24" borderId="26" xfId="0" applyNumberFormat="1" applyFont="1" applyFill="1" applyBorder="1" applyAlignment="1" applyProtection="1">
      <alignment horizontal="center" vertical="center" wrapText="1"/>
      <protection/>
    </xf>
    <xf numFmtId="181" fontId="43" fillId="22" borderId="37" xfId="0" applyNumberFormat="1" applyFont="1" applyFill="1" applyBorder="1" applyAlignment="1" applyProtection="1">
      <alignment horizontal="center" vertical="center"/>
      <protection locked="0"/>
    </xf>
    <xf numFmtId="181" fontId="43" fillId="22" borderId="45" xfId="0" applyNumberFormat="1" applyFont="1" applyFill="1" applyBorder="1" applyAlignment="1" applyProtection="1">
      <alignment horizontal="center" vertical="center"/>
      <protection locked="0"/>
    </xf>
    <xf numFmtId="188" fontId="43" fillId="20" borderId="15" xfId="0" applyNumberFormat="1" applyFont="1" applyFill="1" applyBorder="1" applyAlignment="1" applyProtection="1">
      <alignment horizontal="center" vertical="center" wrapText="1"/>
      <protection/>
    </xf>
    <xf numFmtId="192" fontId="43" fillId="20" borderId="16" xfId="100" applyNumberFormat="1" applyFont="1" applyFill="1" applyBorder="1" applyAlignment="1" applyProtection="1">
      <alignment horizontal="center" vertical="center" wrapText="1"/>
      <protection/>
    </xf>
    <xf numFmtId="0" fontId="43" fillId="24" borderId="46" xfId="0" applyFont="1" applyFill="1" applyBorder="1" applyAlignment="1" applyProtection="1">
      <alignment horizontal="center" vertical="center" wrapText="1"/>
      <protection locked="0"/>
    </xf>
    <xf numFmtId="0" fontId="43" fillId="24" borderId="47" xfId="0" applyFont="1" applyFill="1" applyBorder="1" applyAlignment="1" applyProtection="1">
      <alignment horizontal="center" vertical="center" wrapText="1"/>
      <protection locked="0"/>
    </xf>
    <xf numFmtId="1" fontId="43" fillId="11" borderId="15" xfId="0" applyNumberFormat="1" applyFont="1" applyFill="1" applyBorder="1" applyAlignment="1" applyProtection="1">
      <alignment horizontal="right"/>
      <protection locked="0"/>
    </xf>
    <xf numFmtId="1" fontId="43" fillId="11" borderId="16" xfId="0" applyNumberFormat="1" applyFont="1" applyFill="1" applyBorder="1" applyAlignment="1" applyProtection="1">
      <alignment horizontal="right"/>
      <protection locked="0"/>
    </xf>
    <xf numFmtId="1" fontId="45" fillId="0" borderId="15" xfId="0" applyNumberFormat="1" applyFont="1" applyBorder="1" applyAlignment="1" applyProtection="1">
      <alignment/>
      <protection locked="0"/>
    </xf>
    <xf numFmtId="1" fontId="48" fillId="11" borderId="18" xfId="0" applyNumberFormat="1" applyFont="1" applyFill="1" applyBorder="1" applyAlignment="1" applyProtection="1">
      <alignment/>
      <protection locked="0"/>
    </xf>
    <xf numFmtId="1" fontId="48" fillId="11" borderId="26" xfId="0" applyNumberFormat="1" applyFont="1" applyFill="1" applyBorder="1" applyAlignment="1" applyProtection="1">
      <alignment/>
      <protection locked="0"/>
    </xf>
    <xf numFmtId="3" fontId="43" fillId="24" borderId="20" xfId="0" applyNumberFormat="1" applyFont="1" applyFill="1" applyBorder="1" applyAlignment="1" applyProtection="1">
      <alignment horizontal="right"/>
      <protection locked="0"/>
    </xf>
    <xf numFmtId="3" fontId="43" fillId="24" borderId="20" xfId="0" applyNumberFormat="1" applyFont="1" applyFill="1" applyBorder="1" applyAlignment="1" applyProtection="1">
      <alignment horizontal="right" vertical="center"/>
      <protection locked="0"/>
    </xf>
    <xf numFmtId="3" fontId="43" fillId="25" borderId="44" xfId="0" applyNumberFormat="1" applyFont="1" applyFill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84" applyFont="1" applyFill="1" applyBorder="1" applyAlignment="1" applyProtection="1">
      <alignment horizontal="left"/>
      <protection locked="0"/>
    </xf>
    <xf numFmtId="3" fontId="43" fillId="24" borderId="16" xfId="0" applyNumberFormat="1" applyFont="1" applyFill="1" applyBorder="1" applyAlignment="1" applyProtection="1">
      <alignment horizontal="right"/>
      <protection locked="0"/>
    </xf>
    <xf numFmtId="3" fontId="43" fillId="24" borderId="30" xfId="0" applyNumberFormat="1" applyFont="1" applyFill="1" applyBorder="1" applyAlignment="1" applyProtection="1">
      <alignment horizontal="right" vertical="center"/>
      <protection locked="0"/>
    </xf>
    <xf numFmtId="3" fontId="43" fillId="24" borderId="14" xfId="0" applyNumberFormat="1" applyFont="1" applyFill="1" applyBorder="1" applyAlignment="1" applyProtection="1">
      <alignment horizontal="right"/>
      <protection locked="0"/>
    </xf>
    <xf numFmtId="3" fontId="52" fillId="25" borderId="14" xfId="0" applyNumberFormat="1" applyFont="1" applyFill="1" applyBorder="1" applyAlignment="1" applyProtection="1">
      <alignment horizontal="right"/>
      <protection locked="0"/>
    </xf>
    <xf numFmtId="3" fontId="50" fillId="6" borderId="10" xfId="0" applyNumberFormat="1" applyFont="1" applyFill="1" applyBorder="1" applyAlignment="1" applyProtection="1">
      <alignment/>
      <protection locked="0"/>
    </xf>
    <xf numFmtId="3" fontId="43" fillId="0" borderId="16" xfId="0" applyNumberFormat="1" applyFont="1" applyFill="1" applyBorder="1" applyAlignment="1" applyProtection="1">
      <alignment horizontal="right"/>
      <protection locked="0"/>
    </xf>
    <xf numFmtId="3" fontId="43" fillId="24" borderId="10" xfId="0" applyNumberFormat="1" applyFont="1" applyFill="1" applyBorder="1" applyAlignment="1" applyProtection="1">
      <alignment horizontal="right" vertical="center"/>
      <protection locked="0"/>
    </xf>
    <xf numFmtId="3" fontId="43" fillId="0" borderId="26" xfId="0" applyNumberFormat="1" applyFont="1" applyBorder="1" applyAlignment="1" applyProtection="1">
      <alignment horizontal="right" vertical="center"/>
      <protection locked="0"/>
    </xf>
    <xf numFmtId="3" fontId="45" fillId="0" borderId="0" xfId="0" applyNumberFormat="1" applyFont="1" applyFill="1" applyAlignment="1" applyProtection="1">
      <alignment horizontal="left" vertical="center"/>
      <protection locked="0"/>
    </xf>
    <xf numFmtId="3" fontId="43" fillId="24" borderId="15" xfId="0" applyNumberFormat="1" applyFont="1" applyFill="1" applyBorder="1" applyAlignment="1" applyProtection="1">
      <alignment vertical="center"/>
      <protection locked="0"/>
    </xf>
    <xf numFmtId="3" fontId="43" fillId="24" borderId="15" xfId="0" applyNumberFormat="1" applyFont="1" applyFill="1" applyBorder="1" applyAlignment="1" applyProtection="1">
      <alignment horizontal="right"/>
      <protection locked="0"/>
    </xf>
    <xf numFmtId="3" fontId="43" fillId="24" borderId="19" xfId="0" applyNumberFormat="1" applyFont="1" applyFill="1" applyBorder="1" applyAlignment="1" applyProtection="1">
      <alignment horizontal="right"/>
      <protection locked="0"/>
    </xf>
    <xf numFmtId="180" fontId="43" fillId="24" borderId="10" xfId="0" applyNumberFormat="1" applyFont="1" applyFill="1" applyBorder="1" applyAlignment="1" applyProtection="1">
      <alignment vertical="center"/>
      <protection locked="0"/>
    </xf>
    <xf numFmtId="1" fontId="43" fillId="24" borderId="16" xfId="0" applyNumberFormat="1" applyFont="1" applyFill="1" applyBorder="1" applyAlignment="1" applyProtection="1">
      <alignment vertical="center"/>
      <protection locked="0"/>
    </xf>
    <xf numFmtId="1" fontId="43" fillId="24" borderId="30" xfId="0" applyNumberFormat="1" applyFont="1" applyFill="1" applyBorder="1" applyAlignment="1" applyProtection="1">
      <alignment vertical="center"/>
      <protection locked="0"/>
    </xf>
    <xf numFmtId="3" fontId="43" fillId="24" borderId="20" xfId="0" applyNumberFormat="1" applyFont="1" applyFill="1" applyBorder="1" applyAlignment="1" applyProtection="1">
      <alignment vertical="center"/>
      <protection locked="0"/>
    </xf>
    <xf numFmtId="1" fontId="43" fillId="24" borderId="19" xfId="0" applyNumberFormat="1" applyFont="1" applyFill="1" applyBorder="1" applyAlignment="1" applyProtection="1">
      <alignment vertical="center"/>
      <protection locked="0"/>
    </xf>
    <xf numFmtId="1" fontId="43" fillId="24" borderId="16" xfId="0" applyNumberFormat="1" applyFont="1" applyFill="1" applyBorder="1" applyAlignment="1" applyProtection="1">
      <alignment horizontal="right"/>
      <protection locked="0"/>
    </xf>
    <xf numFmtId="1" fontId="43" fillId="24" borderId="20" xfId="0" applyNumberFormat="1" applyFont="1" applyFill="1" applyBorder="1" applyAlignment="1" applyProtection="1">
      <alignment vertical="center"/>
      <protection locked="0"/>
    </xf>
    <xf numFmtId="181" fontId="43" fillId="24" borderId="10" xfId="0" applyNumberFormat="1" applyFont="1" applyFill="1" applyBorder="1" applyAlignment="1" applyProtection="1">
      <alignment vertical="center"/>
      <protection locked="0"/>
    </xf>
    <xf numFmtId="1" fontId="43" fillId="24" borderId="10" xfId="0" applyNumberFormat="1" applyFont="1" applyFill="1" applyBorder="1" applyAlignment="1" applyProtection="1">
      <alignment horizontal="right" vertical="center"/>
      <protection locked="0"/>
    </xf>
    <xf numFmtId="1" fontId="43" fillId="24" borderId="15" xfId="0" applyNumberFormat="1" applyFont="1" applyFill="1" applyBorder="1" applyAlignment="1" applyProtection="1">
      <alignment vertical="center"/>
      <protection locked="0"/>
    </xf>
    <xf numFmtId="2" fontId="43" fillId="4" borderId="35" xfId="0" applyNumberFormat="1" applyFont="1" applyFill="1" applyBorder="1" applyAlignment="1" applyProtection="1">
      <alignment/>
      <protection locked="0"/>
    </xf>
    <xf numFmtId="2" fontId="43" fillId="4" borderId="10" xfId="0" applyNumberFormat="1" applyFont="1" applyFill="1" applyBorder="1" applyAlignment="1" applyProtection="1">
      <alignment/>
      <protection locked="0"/>
    </xf>
    <xf numFmtId="1" fontId="43" fillId="24" borderId="10" xfId="0" applyNumberFormat="1" applyFont="1" applyFill="1" applyBorder="1" applyAlignment="1" applyProtection="1">
      <alignment/>
      <protection locked="0"/>
    </xf>
    <xf numFmtId="3" fontId="43" fillId="24" borderId="10" xfId="0" applyNumberFormat="1" applyFont="1" applyFill="1" applyBorder="1" applyAlignment="1" applyProtection="1">
      <alignment/>
      <protection locked="0"/>
    </xf>
    <xf numFmtId="1" fontId="43" fillId="24" borderId="13" xfId="0" applyNumberFormat="1" applyFont="1" applyFill="1" applyBorder="1" applyAlignment="1" applyProtection="1">
      <alignment horizontal="right" vertical="center"/>
      <protection locked="0"/>
    </xf>
    <xf numFmtId="3" fontId="52" fillId="25" borderId="10" xfId="0" applyNumberFormat="1" applyFont="1" applyFill="1" applyBorder="1" applyAlignment="1" applyProtection="1">
      <alignment/>
      <protection locked="0"/>
    </xf>
    <xf numFmtId="3" fontId="48" fillId="0" borderId="10" xfId="0" applyNumberFormat="1" applyFont="1" applyFill="1" applyBorder="1" applyAlignment="1" applyProtection="1">
      <alignment/>
      <protection locked="0"/>
    </xf>
    <xf numFmtId="2" fontId="43" fillId="6" borderId="0" xfId="0" applyNumberFormat="1" applyFont="1" applyFill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1" fontId="49" fillId="0" borderId="10" xfId="0" applyNumberFormat="1" applyFont="1" applyBorder="1" applyAlignment="1" applyProtection="1">
      <alignment/>
      <protection locked="0"/>
    </xf>
    <xf numFmtId="1" fontId="49" fillId="0" borderId="16" xfId="0" applyNumberFormat="1" applyFont="1" applyBorder="1" applyAlignment="1" applyProtection="1">
      <alignment/>
      <protection locked="0"/>
    </xf>
    <xf numFmtId="3" fontId="49" fillId="0" borderId="30" xfId="0" applyNumberFormat="1" applyFont="1" applyBorder="1" applyAlignment="1" applyProtection="1">
      <alignment/>
      <protection locked="0"/>
    </xf>
    <xf numFmtId="3" fontId="49" fillId="0" borderId="10" xfId="0" applyNumberFormat="1" applyFont="1" applyBorder="1" applyAlignment="1" applyProtection="1">
      <alignment horizontal="right"/>
      <protection locked="0"/>
    </xf>
    <xf numFmtId="181" fontId="49" fillId="0" borderId="10" xfId="0" applyNumberFormat="1" applyFont="1" applyBorder="1" applyAlignment="1" applyProtection="1">
      <alignment/>
      <protection locked="0"/>
    </xf>
    <xf numFmtId="3" fontId="49" fillId="0" borderId="16" xfId="0" applyNumberFormat="1" applyFont="1" applyBorder="1" applyAlignment="1" applyProtection="1">
      <alignment horizontal="right"/>
      <protection locked="0"/>
    </xf>
    <xf numFmtId="3" fontId="49" fillId="0" borderId="15" xfId="0" applyNumberFormat="1" applyFont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1" fontId="49" fillId="24" borderId="15" xfId="0" applyNumberFormat="1" applyFont="1" applyFill="1" applyBorder="1" applyAlignment="1" applyProtection="1">
      <alignment/>
      <protection locked="0"/>
    </xf>
    <xf numFmtId="1" fontId="49" fillId="24" borderId="16" xfId="0" applyNumberFormat="1" applyFont="1" applyFill="1" applyBorder="1" applyAlignment="1" applyProtection="1">
      <alignment/>
      <protection locked="0"/>
    </xf>
    <xf numFmtId="3" fontId="45" fillId="0" borderId="14" xfId="0" applyNumberFormat="1" applyFont="1" applyBorder="1" applyAlignment="1" applyProtection="1">
      <alignment horizontal="right"/>
      <protection locked="0"/>
    </xf>
    <xf numFmtId="3" fontId="4" fillId="24" borderId="14" xfId="0" applyNumberFormat="1" applyFont="1" applyFill="1" applyBorder="1" applyAlignment="1" applyProtection="1">
      <alignment horizontal="right"/>
      <protection locked="0"/>
    </xf>
    <xf numFmtId="3" fontId="43" fillId="25" borderId="36" xfId="0" applyNumberFormat="1" applyFont="1" applyFill="1" applyBorder="1" applyAlignment="1" applyProtection="1">
      <alignment horizontal="right"/>
      <protection locked="0"/>
    </xf>
    <xf numFmtId="3" fontId="45" fillId="0" borderId="0" xfId="0" applyNumberFormat="1" applyFont="1" applyAlignment="1" applyProtection="1">
      <alignment horizontal="right"/>
      <protection locked="0"/>
    </xf>
    <xf numFmtId="3" fontId="45" fillId="0" borderId="0" xfId="0" applyNumberFormat="1" applyFont="1" applyFill="1" applyAlignment="1" applyProtection="1">
      <alignment horizontal="center" vertical="center"/>
      <protection locked="0"/>
    </xf>
    <xf numFmtId="3" fontId="45" fillId="0" borderId="0" xfId="0" applyNumberFormat="1" applyFont="1" applyFill="1" applyAlignment="1" applyProtection="1">
      <alignment horizontal="right" vertical="center"/>
      <protection locked="0"/>
    </xf>
    <xf numFmtId="180" fontId="45" fillId="0" borderId="0" xfId="0" applyNumberFormat="1" applyFont="1" applyFill="1" applyBorder="1" applyAlignment="1" applyProtection="1">
      <alignment/>
      <protection locked="0"/>
    </xf>
    <xf numFmtId="181" fontId="4" fillId="11" borderId="17" xfId="0" applyNumberFormat="1" applyFont="1" applyFill="1" applyBorder="1" applyAlignment="1" applyProtection="1">
      <alignment horizontal="center" vertical="center"/>
      <protection locked="0"/>
    </xf>
    <xf numFmtId="1" fontId="48" fillId="11" borderId="15" xfId="0" applyNumberFormat="1" applyFont="1" applyFill="1" applyBorder="1" applyAlignment="1" applyProtection="1">
      <alignment/>
      <protection locked="0"/>
    </xf>
    <xf numFmtId="1" fontId="48" fillId="11" borderId="16" xfId="0" applyNumberFormat="1" applyFont="1" applyFill="1" applyBorder="1" applyAlignment="1" applyProtection="1">
      <alignment/>
      <protection locked="0"/>
    </xf>
    <xf numFmtId="181" fontId="43" fillId="0" borderId="30" xfId="0" applyNumberFormat="1" applyFont="1" applyBorder="1" applyAlignment="1" applyProtection="1">
      <alignment/>
      <protection locked="0"/>
    </xf>
    <xf numFmtId="1" fontId="43" fillId="0" borderId="30" xfId="0" applyNumberFormat="1" applyFont="1" applyBorder="1" applyAlignment="1" applyProtection="1">
      <alignment/>
      <protection locked="0"/>
    </xf>
    <xf numFmtId="3" fontId="43" fillId="24" borderId="30" xfId="0" applyNumberFormat="1" applyFont="1" applyFill="1" applyBorder="1" applyAlignment="1" applyProtection="1">
      <alignment vertical="center"/>
      <protection locked="0"/>
    </xf>
    <xf numFmtId="1" fontId="43" fillId="24" borderId="30" xfId="0" applyNumberFormat="1" applyFont="1" applyFill="1" applyBorder="1" applyAlignment="1" applyProtection="1">
      <alignment horizontal="right" vertical="center"/>
      <protection locked="0"/>
    </xf>
    <xf numFmtId="0" fontId="43" fillId="0" borderId="30" xfId="0" applyFont="1" applyBorder="1" applyAlignment="1" applyProtection="1">
      <alignment/>
      <protection locked="0"/>
    </xf>
    <xf numFmtId="0" fontId="43" fillId="0" borderId="30" xfId="0" applyFont="1" applyBorder="1" applyAlignment="1" applyProtection="1">
      <alignment/>
      <protection locked="0"/>
    </xf>
    <xf numFmtId="1" fontId="49" fillId="0" borderId="30" xfId="0" applyNumberFormat="1" applyFont="1" applyBorder="1" applyAlignment="1" applyProtection="1">
      <alignment/>
      <protection locked="0"/>
    </xf>
    <xf numFmtId="0" fontId="48" fillId="11" borderId="39" xfId="0" applyFont="1" applyFill="1" applyBorder="1" applyAlignment="1" applyProtection="1">
      <alignment/>
      <protection locked="0"/>
    </xf>
    <xf numFmtId="3" fontId="43" fillId="24" borderId="16" xfId="0" applyNumberFormat="1" applyFont="1" applyFill="1" applyBorder="1" applyAlignment="1" applyProtection="1">
      <alignment horizontal="right" vertical="center"/>
      <protection locked="0"/>
    </xf>
    <xf numFmtId="1" fontId="45" fillId="0" borderId="16" xfId="0" applyNumberFormat="1" applyFont="1" applyBorder="1" applyAlignment="1" applyProtection="1">
      <alignment horizontal="right"/>
      <protection locked="0"/>
    </xf>
    <xf numFmtId="1" fontId="48" fillId="11" borderId="26" xfId="0" applyNumberFormat="1" applyFont="1" applyFill="1" applyBorder="1" applyAlignment="1" applyProtection="1">
      <alignment horizontal="right"/>
      <protection locked="0"/>
    </xf>
    <xf numFmtId="0" fontId="43" fillId="26" borderId="0" xfId="0" applyFont="1" applyFill="1" applyAlignment="1" applyProtection="1">
      <alignment/>
      <protection locked="0"/>
    </xf>
    <xf numFmtId="0" fontId="43" fillId="26" borderId="0" xfId="0" applyFont="1" applyFill="1" applyAlignment="1" applyProtection="1">
      <alignment horizontal="left"/>
      <protection locked="0"/>
    </xf>
    <xf numFmtId="181" fontId="43" fillId="26" borderId="0" xfId="0" applyNumberFormat="1" applyFont="1" applyFill="1" applyBorder="1" applyAlignment="1" applyProtection="1">
      <alignment/>
      <protection locked="0"/>
    </xf>
    <xf numFmtId="0" fontId="43" fillId="26" borderId="0" xfId="0" applyFont="1" applyFill="1" applyAlignment="1" applyProtection="1">
      <alignment horizontal="left" vertical="center"/>
      <protection locked="0"/>
    </xf>
    <xf numFmtId="0" fontId="43" fillId="26" borderId="0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1" fontId="43" fillId="24" borderId="15" xfId="0" applyNumberFormat="1" applyFont="1" applyFill="1" applyBorder="1" applyAlignment="1" applyProtection="1">
      <alignment horizontal="center" vertical="center"/>
      <protection/>
    </xf>
    <xf numFmtId="1" fontId="43" fillId="24" borderId="10" xfId="0" applyNumberFormat="1" applyFont="1" applyFill="1" applyBorder="1" applyAlignment="1" applyProtection="1">
      <alignment horizontal="center" vertical="center"/>
      <protection/>
    </xf>
    <xf numFmtId="180" fontId="43" fillId="24" borderId="10" xfId="0" applyNumberFormat="1" applyFont="1" applyFill="1" applyBorder="1" applyAlignment="1" applyProtection="1">
      <alignment horizontal="center" vertical="center"/>
      <protection/>
    </xf>
    <xf numFmtId="3" fontId="43" fillId="24" borderId="10" xfId="0" applyNumberFormat="1" applyFont="1" applyFill="1" applyBorder="1" applyAlignment="1" applyProtection="1">
      <alignment horizontal="center" vertical="center"/>
      <protection/>
    </xf>
    <xf numFmtId="1" fontId="43" fillId="24" borderId="16" xfId="0" applyNumberFormat="1" applyFont="1" applyFill="1" applyBorder="1" applyAlignment="1" applyProtection="1">
      <alignment horizontal="center" vertical="center"/>
      <protection/>
    </xf>
    <xf numFmtId="1" fontId="43" fillId="24" borderId="40" xfId="0" applyNumberFormat="1" applyFont="1" applyFill="1" applyBorder="1" applyAlignment="1" applyProtection="1">
      <alignment horizontal="center" vertical="center"/>
      <protection/>
    </xf>
    <xf numFmtId="3" fontId="43" fillId="24" borderId="15" xfId="0" applyNumberFormat="1" applyFont="1" applyFill="1" applyBorder="1" applyAlignment="1" applyProtection="1">
      <alignment horizontal="center" vertical="center"/>
      <protection/>
    </xf>
    <xf numFmtId="3" fontId="43" fillId="17" borderId="10" xfId="0" applyNumberFormat="1" applyFont="1" applyFill="1" applyBorder="1" applyAlignment="1" applyProtection="1">
      <alignment horizontal="center" vertical="center"/>
      <protection locked="0"/>
    </xf>
    <xf numFmtId="3" fontId="43" fillId="24" borderId="16" xfId="0" applyNumberFormat="1" applyFont="1" applyFill="1" applyBorder="1" applyAlignment="1" applyProtection="1">
      <alignment horizontal="center" vertical="center"/>
      <protection/>
    </xf>
    <xf numFmtId="3" fontId="43" fillId="24" borderId="13" xfId="0" applyNumberFormat="1" applyFont="1" applyFill="1" applyBorder="1" applyAlignment="1" applyProtection="1">
      <alignment horizontal="center" vertical="center"/>
      <protection/>
    </xf>
    <xf numFmtId="3" fontId="45" fillId="17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20" borderId="10" xfId="0" applyFont="1" applyFill="1" applyBorder="1" applyAlignment="1" applyProtection="1">
      <alignment horizontal="center" vertical="center" wrapText="1"/>
      <protection locked="0"/>
    </xf>
    <xf numFmtId="0" fontId="8" fillId="2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top" wrapText="1"/>
      <protection locked="0"/>
    </xf>
    <xf numFmtId="189" fontId="4" fillId="24" borderId="18" xfId="0" applyNumberFormat="1" applyFont="1" applyFill="1" applyBorder="1" applyAlignment="1" applyProtection="1">
      <alignment horizontal="center" vertical="center"/>
      <protection/>
    </xf>
    <xf numFmtId="0" fontId="43" fillId="5" borderId="0" xfId="0" applyFont="1" applyFill="1" applyBorder="1" applyAlignment="1" applyProtection="1">
      <alignment horizontal="left" vertical="center"/>
      <protection locked="0"/>
    </xf>
    <xf numFmtId="0" fontId="43" fillId="5" borderId="0" xfId="0" applyFont="1" applyFill="1" applyAlignment="1" applyProtection="1">
      <alignment/>
      <protection locked="0"/>
    </xf>
    <xf numFmtId="181" fontId="4" fillId="20" borderId="17" xfId="0" applyNumberFormat="1" applyFont="1" applyFill="1" applyBorder="1" applyAlignment="1" applyProtection="1">
      <alignment horizontal="center" vertical="center"/>
      <protection/>
    </xf>
    <xf numFmtId="195" fontId="43" fillId="0" borderId="0" xfId="0" applyNumberFormat="1" applyFont="1" applyFill="1" applyAlignment="1" applyProtection="1">
      <alignment horizontal="left" vertical="center"/>
      <protection locked="0"/>
    </xf>
    <xf numFmtId="196" fontId="43" fillId="0" borderId="0" xfId="100" applyNumberFormat="1" applyFont="1" applyFill="1" applyBorder="1" applyAlignment="1" applyProtection="1">
      <alignment horizontal="center" vertical="center" wrapText="1"/>
      <protection locked="0"/>
    </xf>
    <xf numFmtId="193" fontId="43" fillId="0" borderId="0" xfId="0" applyNumberFormat="1" applyFont="1" applyAlignment="1" applyProtection="1">
      <alignment/>
      <protection locked="0"/>
    </xf>
    <xf numFmtId="194" fontId="43" fillId="0" borderId="0" xfId="0" applyNumberFormat="1" applyFont="1" applyAlignment="1" applyProtection="1">
      <alignment/>
      <protection locked="0"/>
    </xf>
    <xf numFmtId="181" fontId="30" fillId="0" borderId="19" xfId="51" applyNumberFormat="1" applyFont="1" applyFill="1" applyBorder="1" applyAlignment="1" applyProtection="1">
      <alignment horizontal="right" vertical="center"/>
      <protection locked="0"/>
    </xf>
    <xf numFmtId="182" fontId="4" fillId="11" borderId="17" xfId="0" applyNumberFormat="1" applyFont="1" applyFill="1" applyBorder="1" applyAlignment="1" applyProtection="1">
      <alignment horizontal="center" vertical="center"/>
      <protection locked="0"/>
    </xf>
    <xf numFmtId="182" fontId="4" fillId="20" borderId="10" xfId="0" applyNumberFormat="1" applyFont="1" applyFill="1" applyBorder="1" applyAlignment="1" applyProtection="1">
      <alignment horizontal="center" vertical="center"/>
      <protection/>
    </xf>
    <xf numFmtId="189" fontId="4" fillId="20" borderId="17" xfId="0" applyNumberFormat="1" applyFont="1" applyFill="1" applyBorder="1" applyAlignment="1" applyProtection="1">
      <alignment horizontal="center" vertical="center"/>
      <protection/>
    </xf>
    <xf numFmtId="189" fontId="4" fillId="20" borderId="10" xfId="0" applyNumberFormat="1" applyFont="1" applyFill="1" applyBorder="1" applyAlignment="1" applyProtection="1">
      <alignment horizontal="center" vertical="center"/>
      <protection/>
    </xf>
    <xf numFmtId="3" fontId="31" fillId="0" borderId="33" xfId="0" applyNumberFormat="1" applyFont="1" applyFill="1" applyBorder="1" applyAlignment="1" applyProtection="1">
      <alignment vertical="center"/>
      <protection locked="0"/>
    </xf>
    <xf numFmtId="3" fontId="31" fillId="0" borderId="33" xfId="0" applyNumberFormat="1" applyFont="1" applyBorder="1" applyAlignment="1" applyProtection="1">
      <alignment/>
      <protection locked="0"/>
    </xf>
    <xf numFmtId="2" fontId="43" fillId="11" borderId="17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Alignment="1" applyProtection="1">
      <alignment/>
      <protection locked="0"/>
    </xf>
    <xf numFmtId="3" fontId="31" fillId="0" borderId="10" xfId="0" applyNumberFormat="1" applyFont="1" applyBorder="1" applyAlignment="1" applyProtection="1">
      <alignment vertical="center"/>
      <protection/>
    </xf>
    <xf numFmtId="180" fontId="7" fillId="8" borderId="10" xfId="0" applyNumberFormat="1" applyFont="1" applyFill="1" applyBorder="1" applyAlignment="1" applyProtection="1">
      <alignment vertical="center"/>
      <protection/>
    </xf>
    <xf numFmtId="3" fontId="31" fillId="8" borderId="10" xfId="0" applyNumberFormat="1" applyFont="1" applyFill="1" applyBorder="1" applyAlignment="1" applyProtection="1">
      <alignment vertical="center"/>
      <protection/>
    </xf>
    <xf numFmtId="180" fontId="32" fillId="5" borderId="10" xfId="0" applyNumberFormat="1" applyFont="1" applyFill="1" applyBorder="1" applyAlignment="1" applyProtection="1">
      <alignment vertical="center"/>
      <protection/>
    </xf>
    <xf numFmtId="3" fontId="31" fillId="5" borderId="10" xfId="0" applyNumberFormat="1" applyFont="1" applyFill="1" applyBorder="1" applyAlignment="1" applyProtection="1">
      <alignment vertical="center"/>
      <protection/>
    </xf>
    <xf numFmtId="180" fontId="7" fillId="24" borderId="10" xfId="0" applyNumberFormat="1" applyFont="1" applyFill="1" applyBorder="1" applyAlignment="1" applyProtection="1">
      <alignment/>
      <protection/>
    </xf>
    <xf numFmtId="3" fontId="31" fillId="24" borderId="10" xfId="0" applyNumberFormat="1" applyFont="1" applyFill="1" applyBorder="1" applyAlignment="1" applyProtection="1">
      <alignment vertical="center"/>
      <protection/>
    </xf>
    <xf numFmtId="0" fontId="61" fillId="0" borderId="10" xfId="0" applyBorder="1" applyAlignment="1" applyProtection="1">
      <alignment/>
      <protection locked="0"/>
    </xf>
    <xf numFmtId="181" fontId="61" fillId="0" borderId="10" xfId="0" applyNumberFormat="1" applyBorder="1" applyAlignment="1" applyProtection="1">
      <alignment/>
      <protection locked="0"/>
    </xf>
    <xf numFmtId="0" fontId="62" fillId="0" borderId="10" xfId="0" applyFont="1" applyBorder="1" applyAlignment="1" applyProtection="1">
      <alignment/>
      <protection locked="0"/>
    </xf>
    <xf numFmtId="3" fontId="31" fillId="10" borderId="10" xfId="0" applyNumberFormat="1" applyFont="1" applyFill="1" applyBorder="1" applyAlignment="1" applyProtection="1">
      <alignment/>
      <protection locked="0"/>
    </xf>
    <xf numFmtId="0" fontId="61" fillId="0" borderId="0" xfId="0" applyNumberForma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43" fillId="0" borderId="40" xfId="0" applyFont="1" applyFill="1" applyBorder="1" applyAlignment="1" applyProtection="1">
      <alignment horizontal="center" vertical="center" wrapText="1"/>
      <protection locked="0"/>
    </xf>
    <xf numFmtId="0" fontId="43" fillId="0" borderId="48" xfId="0" applyFont="1" applyFill="1" applyBorder="1" applyAlignment="1" applyProtection="1">
      <alignment horizontal="center" vertical="center" wrapText="1"/>
      <protection locked="0"/>
    </xf>
    <xf numFmtId="0" fontId="43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63" fillId="0" borderId="0" xfId="0" applyFont="1" applyAlignment="1" applyProtection="1">
      <alignment wrapText="1"/>
      <protection locked="0"/>
    </xf>
    <xf numFmtId="0" fontId="64" fillId="0" borderId="0" xfId="0" applyFont="1" applyAlignment="1" applyProtection="1">
      <alignment horizontal="left"/>
      <protection locked="0"/>
    </xf>
    <xf numFmtId="0" fontId="66" fillId="0" borderId="0" xfId="0" applyFont="1" applyAlignment="1" applyProtection="1">
      <alignment horizontal="left"/>
      <protection locked="0"/>
    </xf>
    <xf numFmtId="0" fontId="65" fillId="0" borderId="0" xfId="0" applyFont="1" applyAlignment="1" applyProtection="1">
      <alignment wrapText="1"/>
      <protection locked="0"/>
    </xf>
    <xf numFmtId="0" fontId="67" fillId="0" borderId="0" xfId="0" applyFont="1" applyAlignment="1" applyProtection="1">
      <alignment horizont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8" fillId="11" borderId="10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180" fontId="4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5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0" xfId="0" applyFont="1" applyFill="1" applyBorder="1" applyAlignment="1" applyProtection="1">
      <alignment horizontal="center" vertical="center"/>
      <protection locked="0"/>
    </xf>
    <xf numFmtId="0" fontId="8" fillId="15" borderId="40" xfId="0" applyFont="1" applyFill="1" applyBorder="1" applyAlignment="1" applyProtection="1">
      <alignment horizontal="center" vertical="center"/>
      <protection locked="0"/>
    </xf>
    <xf numFmtId="0" fontId="8" fillId="15" borderId="33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43" fillId="24" borderId="47" xfId="0" applyFont="1" applyFill="1" applyBorder="1" applyAlignment="1" applyProtection="1">
      <alignment horizontal="center" vertical="center" wrapText="1"/>
      <protection locked="0"/>
    </xf>
    <xf numFmtId="0" fontId="43" fillId="24" borderId="50" xfId="0" applyFont="1" applyFill="1" applyBorder="1" applyAlignment="1" applyProtection="1">
      <alignment horizontal="center" vertical="center" wrapText="1"/>
      <protection locked="0"/>
    </xf>
    <xf numFmtId="0" fontId="43" fillId="24" borderId="45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3" fontId="43" fillId="8" borderId="42" xfId="0" applyNumberFormat="1" applyFont="1" applyFill="1" applyBorder="1" applyAlignment="1" applyProtection="1">
      <alignment horizontal="center" vertical="center"/>
      <protection locked="0"/>
    </xf>
    <xf numFmtId="3" fontId="43" fillId="8" borderId="28" xfId="0" applyNumberFormat="1" applyFont="1" applyFill="1" applyBorder="1" applyAlignment="1" applyProtection="1">
      <alignment horizontal="center" vertical="center"/>
      <protection locked="0"/>
    </xf>
    <xf numFmtId="3" fontId="43" fillId="8" borderId="49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3" fillId="22" borderId="13" xfId="0" applyFont="1" applyFill="1" applyBorder="1" applyAlignment="1" applyProtection="1">
      <alignment horizontal="center" vertical="center" wrapText="1"/>
      <protection locked="0"/>
    </xf>
    <xf numFmtId="0" fontId="43" fillId="22" borderId="27" xfId="0" applyFont="1" applyFill="1" applyBorder="1" applyAlignment="1" applyProtection="1">
      <alignment horizontal="center" vertical="center" wrapText="1"/>
      <protection locked="0"/>
    </xf>
    <xf numFmtId="180" fontId="43" fillId="0" borderId="40" xfId="0" applyNumberFormat="1" applyFont="1" applyFill="1" applyBorder="1" applyAlignment="1" applyProtection="1">
      <alignment horizontal="center" vertical="center" wrapText="1"/>
      <protection locked="0"/>
    </xf>
    <xf numFmtId="180" fontId="43" fillId="0" borderId="48" xfId="0" applyNumberFormat="1" applyFont="1" applyFill="1" applyBorder="1" applyAlignment="1" applyProtection="1">
      <alignment horizontal="center" vertical="center" wrapText="1"/>
      <protection locked="0"/>
    </xf>
    <xf numFmtId="180" fontId="4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9" xfId="84" applyFont="1" applyFill="1" applyBorder="1" applyAlignment="1" applyProtection="1">
      <alignment horizontal="left"/>
      <protection locked="0"/>
    </xf>
    <xf numFmtId="0" fontId="46" fillId="0" borderId="20" xfId="84" applyFont="1" applyFill="1" applyBorder="1" applyAlignment="1" applyProtection="1">
      <alignment horizontal="left"/>
      <protection locked="0"/>
    </xf>
    <xf numFmtId="0" fontId="46" fillId="0" borderId="30" xfId="84" applyFont="1" applyFill="1" applyBorder="1" applyAlignment="1" applyProtection="1">
      <alignment horizontal="left"/>
      <protection locked="0"/>
    </xf>
    <xf numFmtId="0" fontId="46" fillId="0" borderId="10" xfId="84" applyFont="1" applyFill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3" fillId="11" borderId="40" xfId="0" applyFont="1" applyFill="1" applyBorder="1" applyAlignment="1" applyProtection="1">
      <alignment horizontal="center" vertical="center" wrapText="1"/>
      <protection locked="0"/>
    </xf>
    <xf numFmtId="0" fontId="43" fillId="11" borderId="48" xfId="0" applyFont="1" applyFill="1" applyBorder="1" applyAlignment="1" applyProtection="1">
      <alignment horizontal="center" vertical="center" wrapText="1"/>
      <protection locked="0"/>
    </xf>
    <xf numFmtId="0" fontId="43" fillId="11" borderId="33" xfId="0" applyFont="1" applyFill="1" applyBorder="1" applyAlignment="1" applyProtection="1">
      <alignment horizontal="center" vertical="center" wrapText="1"/>
      <protection locked="0"/>
    </xf>
    <xf numFmtId="2" fontId="46" fillId="0" borderId="19" xfId="0" applyNumberFormat="1" applyFont="1" applyBorder="1" applyAlignment="1" applyProtection="1">
      <alignment horizontal="left" vertical="center"/>
      <protection locked="0"/>
    </xf>
    <xf numFmtId="2" fontId="46" fillId="0" borderId="20" xfId="0" applyNumberFormat="1" applyFont="1" applyBorder="1" applyAlignment="1" applyProtection="1">
      <alignment horizontal="left" vertical="center"/>
      <protection locked="0"/>
    </xf>
    <xf numFmtId="2" fontId="46" fillId="0" borderId="30" xfId="0" applyNumberFormat="1" applyFont="1" applyBorder="1" applyAlignment="1" applyProtection="1">
      <alignment horizontal="left" vertical="center"/>
      <protection locked="0"/>
    </xf>
    <xf numFmtId="0" fontId="43" fillId="0" borderId="40" xfId="0" applyFont="1" applyBorder="1" applyAlignment="1" applyProtection="1">
      <alignment horizontal="center"/>
      <protection locked="0"/>
    </xf>
    <xf numFmtId="0" fontId="43" fillId="0" borderId="48" xfId="0" applyFont="1" applyBorder="1" applyAlignment="1" applyProtection="1">
      <alignment horizontal="center"/>
      <protection locked="0"/>
    </xf>
    <xf numFmtId="0" fontId="43" fillId="0" borderId="33" xfId="0" applyFont="1" applyBorder="1" applyAlignment="1" applyProtection="1">
      <alignment horizontal="center"/>
      <protection locked="0"/>
    </xf>
    <xf numFmtId="0" fontId="4" fillId="17" borderId="28" xfId="0" applyFont="1" applyFill="1" applyBorder="1" applyAlignment="1" applyProtection="1">
      <alignment horizontal="center" vertical="center" wrapText="1"/>
      <protection locked="0"/>
    </xf>
    <xf numFmtId="0" fontId="4" fillId="17" borderId="20" xfId="0" applyFont="1" applyFill="1" applyBorder="1" applyAlignment="1" applyProtection="1">
      <alignment horizontal="center" vertical="center" wrapText="1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29" xfId="0" applyFont="1" applyFill="1" applyBorder="1" applyAlignment="1" applyProtection="1">
      <alignment horizontal="center" vertical="center" wrapText="1"/>
      <protection locked="0"/>
    </xf>
    <xf numFmtId="0" fontId="43" fillId="22" borderId="40" xfId="0" applyFont="1" applyFill="1" applyBorder="1" applyAlignment="1" applyProtection="1">
      <alignment horizontal="center" vertical="center" wrapText="1"/>
      <protection locked="0"/>
    </xf>
    <xf numFmtId="0" fontId="43" fillId="22" borderId="48" xfId="0" applyFont="1" applyFill="1" applyBorder="1" applyAlignment="1" applyProtection="1">
      <alignment horizontal="center" vertical="center" wrapText="1"/>
      <protection locked="0"/>
    </xf>
    <xf numFmtId="0" fontId="43" fillId="22" borderId="33" xfId="0" applyFont="1" applyFill="1" applyBorder="1" applyAlignment="1" applyProtection="1">
      <alignment horizontal="center" vertical="center" wrapText="1"/>
      <protection locked="0"/>
    </xf>
    <xf numFmtId="0" fontId="43" fillId="17" borderId="40" xfId="0" applyFont="1" applyFill="1" applyBorder="1" applyAlignment="1" applyProtection="1">
      <alignment horizontal="center" vertical="center" wrapText="1"/>
      <protection locked="0"/>
    </xf>
    <xf numFmtId="0" fontId="43" fillId="17" borderId="48" xfId="0" applyFont="1" applyFill="1" applyBorder="1" applyAlignment="1" applyProtection="1">
      <alignment horizontal="center" vertical="center" wrapText="1"/>
      <protection locked="0"/>
    </xf>
    <xf numFmtId="0" fontId="43" fillId="17" borderId="33" xfId="0" applyFont="1" applyFill="1" applyBorder="1" applyAlignment="1" applyProtection="1">
      <alignment horizontal="center" vertical="center" wrapText="1"/>
      <protection locked="0"/>
    </xf>
    <xf numFmtId="180" fontId="43" fillId="17" borderId="40" xfId="0" applyNumberFormat="1" applyFont="1" applyFill="1" applyBorder="1" applyAlignment="1" applyProtection="1">
      <alignment horizontal="center" vertical="center" wrapText="1"/>
      <protection locked="0"/>
    </xf>
    <xf numFmtId="180" fontId="43" fillId="17" borderId="48" xfId="0" applyNumberFormat="1" applyFont="1" applyFill="1" applyBorder="1" applyAlignment="1" applyProtection="1">
      <alignment horizontal="center" vertical="center" wrapText="1"/>
      <protection locked="0"/>
    </xf>
    <xf numFmtId="180" fontId="43" fillId="17" borderId="3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47" xfId="0" applyFont="1" applyFill="1" applyBorder="1" applyAlignment="1" applyProtection="1">
      <alignment horizontal="center" vertical="center" wrapText="1"/>
      <protection locked="0"/>
    </xf>
    <xf numFmtId="0" fontId="43" fillId="0" borderId="50" xfId="0" applyFont="1" applyFill="1" applyBorder="1" applyAlignment="1" applyProtection="1">
      <alignment horizontal="center" vertical="center" wrapText="1"/>
      <protection locked="0"/>
    </xf>
    <xf numFmtId="0" fontId="43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51" xfId="0" applyFont="1" applyFill="1" applyBorder="1" applyAlignment="1" applyProtection="1">
      <alignment horizontal="center" vertical="center" wrapText="1"/>
      <protection locked="0"/>
    </xf>
    <xf numFmtId="0" fontId="43" fillId="0" borderId="52" xfId="0" applyFont="1" applyFill="1" applyBorder="1" applyAlignment="1" applyProtection="1">
      <alignment horizontal="center" vertical="center" wrapText="1"/>
      <protection locked="0"/>
    </xf>
    <xf numFmtId="0" fontId="43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80" fontId="43" fillId="24" borderId="47" xfId="0" applyNumberFormat="1" applyFont="1" applyFill="1" applyBorder="1" applyAlignment="1" applyProtection="1">
      <alignment horizontal="center" vertical="center" wrapText="1"/>
      <protection locked="0"/>
    </xf>
    <xf numFmtId="180" fontId="43" fillId="24" borderId="50" xfId="0" applyNumberFormat="1" applyFont="1" applyFill="1" applyBorder="1" applyAlignment="1" applyProtection="1">
      <alignment horizontal="center" vertical="center" wrapText="1"/>
      <protection locked="0"/>
    </xf>
    <xf numFmtId="180" fontId="43" fillId="24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33" xfId="0" applyFont="1" applyFill="1" applyBorder="1" applyAlignment="1" applyProtection="1">
      <alignment horizontal="center" vertical="center" wrapText="1"/>
      <protection locked="0"/>
    </xf>
    <xf numFmtId="0" fontId="43" fillId="25" borderId="40" xfId="0" applyFont="1" applyFill="1" applyBorder="1" applyAlignment="1" applyProtection="1">
      <alignment horizontal="center" vertical="center" wrapText="1"/>
      <protection locked="0"/>
    </xf>
    <xf numFmtId="0" fontId="43" fillId="25" borderId="48" xfId="0" applyFont="1" applyFill="1" applyBorder="1" applyAlignment="1" applyProtection="1">
      <alignment horizontal="center" vertical="center" wrapText="1"/>
      <protection locked="0"/>
    </xf>
    <xf numFmtId="0" fontId="43" fillId="25" borderId="33" xfId="0" applyFont="1" applyFill="1" applyBorder="1" applyAlignment="1" applyProtection="1">
      <alignment horizontal="center" vertical="center" wrapText="1"/>
      <protection locked="0"/>
    </xf>
    <xf numFmtId="0" fontId="45" fillId="17" borderId="53" xfId="0" applyFont="1" applyFill="1" applyBorder="1" applyAlignment="1" applyProtection="1">
      <alignment horizontal="center" vertical="center" textRotation="90" wrapText="1"/>
      <protection locked="0"/>
    </xf>
    <xf numFmtId="0" fontId="45" fillId="17" borderId="54" xfId="0" applyFont="1" applyFill="1" applyBorder="1" applyAlignment="1" applyProtection="1">
      <alignment horizontal="center" vertical="center" textRotation="90" wrapText="1"/>
      <protection locked="0"/>
    </xf>
    <xf numFmtId="0" fontId="45" fillId="17" borderId="38" xfId="0" applyFont="1" applyFill="1" applyBorder="1" applyAlignment="1" applyProtection="1">
      <alignment horizontal="center" vertical="center" textRotation="90" wrapText="1"/>
      <protection locked="0"/>
    </xf>
    <xf numFmtId="0" fontId="43" fillId="17" borderId="53" xfId="0" applyFont="1" applyFill="1" applyBorder="1" applyAlignment="1" applyProtection="1">
      <alignment horizontal="center" vertical="center" textRotation="90"/>
      <protection locked="0"/>
    </xf>
    <xf numFmtId="0" fontId="43" fillId="17" borderId="54" xfId="0" applyFont="1" applyFill="1" applyBorder="1" applyAlignment="1" applyProtection="1">
      <alignment horizontal="center" vertical="center" textRotation="90"/>
      <protection locked="0"/>
    </xf>
    <xf numFmtId="0" fontId="43" fillId="17" borderId="38" xfId="0" applyFont="1" applyFill="1" applyBorder="1" applyAlignment="1" applyProtection="1">
      <alignment horizontal="center" vertical="center" textRotation="90"/>
      <protection locked="0"/>
    </xf>
    <xf numFmtId="0" fontId="43" fillId="0" borderId="40" xfId="0" applyFont="1" applyBorder="1" applyAlignment="1" applyProtection="1">
      <alignment horizontal="center" vertical="center" textRotation="90" wrapText="1"/>
      <protection locked="0"/>
    </xf>
    <xf numFmtId="0" fontId="43" fillId="0" borderId="48" xfId="0" applyFont="1" applyBorder="1" applyAlignment="1" applyProtection="1">
      <alignment horizontal="center" vertical="center" textRotation="90" wrapText="1"/>
      <protection locked="0"/>
    </xf>
    <xf numFmtId="0" fontId="43" fillId="0" borderId="33" xfId="0" applyFont="1" applyBorder="1" applyAlignment="1" applyProtection="1">
      <alignment horizontal="center" vertical="center" textRotation="90" wrapText="1"/>
      <protection locked="0"/>
    </xf>
    <xf numFmtId="0" fontId="43" fillId="17" borderId="46" xfId="0" applyFont="1" applyFill="1" applyBorder="1" applyAlignment="1" applyProtection="1">
      <alignment horizontal="center" vertical="center" wrapText="1"/>
      <protection locked="0"/>
    </xf>
    <xf numFmtId="0" fontId="43" fillId="17" borderId="55" xfId="0" applyFont="1" applyFill="1" applyBorder="1" applyAlignment="1" applyProtection="1">
      <alignment horizontal="center" vertical="center" wrapText="1"/>
      <protection locked="0"/>
    </xf>
    <xf numFmtId="0" fontId="43" fillId="17" borderId="37" xfId="0" applyFont="1" applyFill="1" applyBorder="1" applyAlignment="1" applyProtection="1">
      <alignment horizontal="center" vertical="center" wrapText="1"/>
      <protection locked="0"/>
    </xf>
    <xf numFmtId="0" fontId="43" fillId="0" borderId="46" xfId="0" applyFont="1" applyBorder="1" applyAlignment="1" applyProtection="1">
      <alignment horizontal="center" vertical="center" wrapText="1"/>
      <protection locked="0"/>
    </xf>
    <xf numFmtId="0" fontId="43" fillId="0" borderId="55" xfId="0" applyFont="1" applyBorder="1" applyAlignment="1" applyProtection="1">
      <alignment horizontal="center" vertical="center" wrapText="1"/>
      <protection locked="0"/>
    </xf>
    <xf numFmtId="0" fontId="43" fillId="0" borderId="37" xfId="0" applyFont="1" applyBorder="1" applyAlignment="1" applyProtection="1">
      <alignment horizontal="center" vertical="center" wrapText="1"/>
      <protection locked="0"/>
    </xf>
    <xf numFmtId="0" fontId="43" fillId="17" borderId="47" xfId="0" applyFont="1" applyFill="1" applyBorder="1" applyAlignment="1" applyProtection="1">
      <alignment horizontal="center" vertical="center" wrapText="1"/>
      <protection locked="0"/>
    </xf>
    <xf numFmtId="0" fontId="43" fillId="17" borderId="50" xfId="0" applyFont="1" applyFill="1" applyBorder="1" applyAlignment="1" applyProtection="1">
      <alignment horizontal="center" vertical="center" wrapText="1"/>
      <protection locked="0"/>
    </xf>
    <xf numFmtId="0" fontId="43" fillId="17" borderId="45" xfId="0" applyFont="1" applyFill="1" applyBorder="1" applyAlignment="1" applyProtection="1">
      <alignment horizontal="center" vertical="center" wrapText="1"/>
      <protection locked="0"/>
    </xf>
    <xf numFmtId="0" fontId="4" fillId="22" borderId="22" xfId="0" applyFont="1" applyFill="1" applyBorder="1" applyAlignment="1" applyProtection="1">
      <alignment horizontal="center" vertical="center"/>
      <protection locked="0"/>
    </xf>
    <xf numFmtId="0" fontId="4" fillId="22" borderId="25" xfId="0" applyFont="1" applyFill="1" applyBorder="1" applyAlignment="1" applyProtection="1">
      <alignment horizontal="center" vertical="center"/>
      <protection locked="0"/>
    </xf>
    <xf numFmtId="0" fontId="43" fillId="22" borderId="56" xfId="0" applyFont="1" applyFill="1" applyBorder="1" applyAlignment="1" applyProtection="1">
      <alignment horizontal="center" vertical="center" wrapText="1"/>
      <protection locked="0"/>
    </xf>
    <xf numFmtId="0" fontId="43" fillId="22" borderId="57" xfId="0" applyFont="1" applyFill="1" applyBorder="1" applyAlignment="1" applyProtection="1">
      <alignment horizontal="center" vertical="center" wrapText="1"/>
      <protection locked="0"/>
    </xf>
    <xf numFmtId="0" fontId="43" fillId="24" borderId="40" xfId="0" applyFont="1" applyFill="1" applyBorder="1" applyAlignment="1" applyProtection="1">
      <alignment horizontal="center" vertical="center" wrapText="1"/>
      <protection locked="0"/>
    </xf>
    <xf numFmtId="0" fontId="43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3" fillId="0" borderId="40" xfId="0" applyFont="1" applyBorder="1" applyAlignment="1" applyProtection="1">
      <alignment horizontal="center" vertical="center" wrapText="1"/>
      <protection locked="0"/>
    </xf>
    <xf numFmtId="0" fontId="43" fillId="0" borderId="48" xfId="0" applyFont="1" applyBorder="1" applyAlignment="1" applyProtection="1">
      <alignment horizontal="center" vertical="center" wrapText="1"/>
      <protection locked="0"/>
    </xf>
    <xf numFmtId="0" fontId="43" fillId="0" borderId="33" xfId="0" applyFont="1" applyBorder="1" applyAlignment="1" applyProtection="1">
      <alignment horizontal="center" vertical="center" wrapText="1"/>
      <protection locked="0"/>
    </xf>
    <xf numFmtId="0" fontId="4" fillId="17" borderId="58" xfId="0" applyFont="1" applyFill="1" applyBorder="1" applyAlignment="1" applyProtection="1">
      <alignment horizontal="center" vertical="center" wrapText="1"/>
      <protection locked="0"/>
    </xf>
    <xf numFmtId="0" fontId="4" fillId="17" borderId="59" xfId="0" applyFont="1" applyFill="1" applyBorder="1" applyAlignment="1" applyProtection="1">
      <alignment horizontal="center" vertical="center" wrapText="1"/>
      <protection locked="0"/>
    </xf>
    <xf numFmtId="0" fontId="4" fillId="17" borderId="60" xfId="0" applyFont="1" applyFill="1" applyBorder="1" applyAlignment="1" applyProtection="1">
      <alignment horizontal="center" vertical="center" wrapText="1"/>
      <protection locked="0"/>
    </xf>
    <xf numFmtId="0" fontId="43" fillId="24" borderId="33" xfId="0" applyFont="1" applyFill="1" applyBorder="1" applyAlignment="1" applyProtection="1">
      <alignment horizontal="center" vertical="center" wrapText="1"/>
      <protection locked="0"/>
    </xf>
    <xf numFmtId="0" fontId="68" fillId="24" borderId="61" xfId="0" applyFont="1" applyFill="1" applyBorder="1" applyAlignment="1">
      <alignment horizontal="center" vertical="center" wrapText="1"/>
    </xf>
    <xf numFmtId="0" fontId="68" fillId="24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35" fillId="22" borderId="31" xfId="0" applyFont="1" applyFill="1" applyBorder="1" applyAlignment="1">
      <alignment horizontal="center" vertical="center"/>
    </xf>
    <xf numFmtId="0" fontId="35" fillId="22" borderId="39" xfId="0" applyFont="1" applyFill="1" applyBorder="1" applyAlignment="1">
      <alignment horizontal="center" vertical="center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_доходи" xfId="84"/>
    <cellStyle name="Обычный_ОБЛАСТІ 2002 РІЙОНИ 2002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54"/>
  <sheetViews>
    <sheetView zoomScale="50" zoomScaleNormal="50" zoomScaleSheetLayoutView="5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" sqref="E2"/>
    </sheetView>
  </sheetViews>
  <sheetFormatPr defaultColWidth="9.00390625" defaultRowHeight="12.75"/>
  <cols>
    <col min="1" max="1" width="4.25390625" style="575" customWidth="1"/>
    <col min="2" max="2" width="18.625" style="575" customWidth="1"/>
    <col min="3" max="5" width="13.75390625" style="575" customWidth="1"/>
    <col min="6" max="8" width="14.375" style="575" customWidth="1"/>
    <col min="9" max="9" width="13.75390625" style="575" bestFit="1" customWidth="1"/>
    <col min="10" max="11" width="13.125" style="575" bestFit="1" customWidth="1"/>
    <col min="12" max="12" width="13.75390625" style="575" bestFit="1" customWidth="1"/>
    <col min="13" max="13" width="14.625" style="575" customWidth="1"/>
    <col min="14" max="14" width="15.125" style="575" customWidth="1"/>
    <col min="15" max="15" width="12.625" style="575" customWidth="1"/>
    <col min="16" max="16" width="10.625" style="575" customWidth="1"/>
    <col min="17" max="17" width="13.25390625" style="575" customWidth="1"/>
    <col min="18" max="18" width="13.125" style="575" customWidth="1"/>
    <col min="19" max="19" width="15.625" style="575" bestFit="1" customWidth="1"/>
    <col min="20" max="20" width="10.875" style="575" customWidth="1"/>
    <col min="21" max="21" width="12.375" style="575" customWidth="1"/>
    <col min="22" max="22" width="14.875" style="575" customWidth="1"/>
    <col min="23" max="23" width="19.875" style="575" customWidth="1"/>
    <col min="24" max="24" width="14.375" style="575" bestFit="1" customWidth="1"/>
    <col min="25" max="25" width="12.75390625" style="575" customWidth="1"/>
    <col min="26" max="26" width="14.375" style="575" customWidth="1"/>
    <col min="27" max="16384" width="9.125" style="575" customWidth="1"/>
  </cols>
  <sheetData>
    <row r="1" spans="6:7" ht="20.25" customHeight="1">
      <c r="F1" s="594" t="s">
        <v>241</v>
      </c>
      <c r="G1" s="594"/>
    </row>
    <row r="2" spans="6:23" ht="17.25" customHeight="1">
      <c r="F2" s="595" t="s">
        <v>243</v>
      </c>
      <c r="G2" s="595"/>
      <c r="L2" s="588"/>
      <c r="W2" s="588"/>
    </row>
    <row r="3" spans="6:22" ht="17.25" customHeight="1">
      <c r="F3" s="595" t="s">
        <v>242</v>
      </c>
      <c r="G3" s="595"/>
      <c r="K3" s="588"/>
      <c r="V3" s="588"/>
    </row>
    <row r="4" spans="6:22" ht="17.25" customHeight="1">
      <c r="F4" s="595" t="s">
        <v>245</v>
      </c>
      <c r="G4" s="595"/>
      <c r="K4" s="588"/>
      <c r="V4" s="588"/>
    </row>
    <row r="5" spans="1:22" ht="21" customHeight="1">
      <c r="A5" s="596"/>
      <c r="B5" s="596"/>
      <c r="C5" s="596"/>
      <c r="D5" s="596"/>
      <c r="E5" s="596"/>
      <c r="F5" s="596"/>
      <c r="G5" s="596"/>
      <c r="H5" s="596"/>
      <c r="I5" s="596"/>
      <c r="K5" s="588"/>
      <c r="V5" s="588"/>
    </row>
    <row r="6" spans="1:26" ht="65.25" customHeight="1">
      <c r="A6" s="596"/>
      <c r="B6" s="596"/>
      <c r="C6" s="597" t="s">
        <v>240</v>
      </c>
      <c r="D6" s="597"/>
      <c r="E6" s="597"/>
      <c r="F6" s="597"/>
      <c r="G6" s="597"/>
      <c r="H6" s="597"/>
      <c r="I6" s="597"/>
      <c r="J6" s="597"/>
      <c r="K6" s="593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</row>
    <row r="7" spans="1:26" ht="4.5" customHeight="1" hidden="1">
      <c r="A7" s="592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</row>
    <row r="8" spans="9:11" ht="12.75" hidden="1">
      <c r="I8" s="575">
        <v>1</v>
      </c>
      <c r="J8" s="575">
        <v>2</v>
      </c>
      <c r="K8" s="575">
        <v>3</v>
      </c>
    </row>
    <row r="9" spans="1:26" ht="127.5" customHeight="1">
      <c r="A9" s="613" t="s">
        <v>3</v>
      </c>
      <c r="B9" s="614" t="s">
        <v>0</v>
      </c>
      <c r="C9" s="614" t="s">
        <v>2</v>
      </c>
      <c r="D9" s="614"/>
      <c r="E9" s="614"/>
      <c r="F9" s="601" t="s">
        <v>13</v>
      </c>
      <c r="G9" s="601"/>
      <c r="H9" s="601"/>
      <c r="I9" s="598" t="s">
        <v>4</v>
      </c>
      <c r="J9" s="598"/>
      <c r="K9" s="598"/>
      <c r="L9" s="612" t="s">
        <v>5</v>
      </c>
      <c r="M9" s="380" t="s">
        <v>14</v>
      </c>
      <c r="N9" s="380" t="s">
        <v>14</v>
      </c>
      <c r="O9" s="380" t="s">
        <v>15</v>
      </c>
      <c r="P9" s="380" t="s">
        <v>15</v>
      </c>
      <c r="Q9" s="381" t="s">
        <v>50</v>
      </c>
      <c r="R9" s="381" t="s">
        <v>50</v>
      </c>
      <c r="S9" s="382" t="s">
        <v>191</v>
      </c>
      <c r="T9" s="383" t="s">
        <v>49</v>
      </c>
      <c r="U9" s="606" t="s">
        <v>6</v>
      </c>
      <c r="V9" s="385" t="s">
        <v>12</v>
      </c>
      <c r="W9" s="386" t="s">
        <v>48</v>
      </c>
      <c r="X9" s="387" t="s">
        <v>29</v>
      </c>
      <c r="Y9" s="387" t="s">
        <v>47</v>
      </c>
      <c r="Z9" s="388" t="s">
        <v>46</v>
      </c>
    </row>
    <row r="10" spans="1:26" ht="12.75" customHeight="1">
      <c r="A10" s="613"/>
      <c r="B10" s="614"/>
      <c r="C10" s="614">
        <v>2009</v>
      </c>
      <c r="D10" s="614">
        <v>2010</v>
      </c>
      <c r="E10" s="614">
        <v>2011</v>
      </c>
      <c r="F10" s="610">
        <v>2009</v>
      </c>
      <c r="G10" s="610">
        <v>2010</v>
      </c>
      <c r="H10" s="610">
        <v>2011</v>
      </c>
      <c r="I10" s="611">
        <v>2009</v>
      </c>
      <c r="J10" s="611">
        <v>2010</v>
      </c>
      <c r="K10" s="611">
        <v>2011</v>
      </c>
      <c r="L10" s="612"/>
      <c r="M10" s="612">
        <v>2012</v>
      </c>
      <c r="N10" s="612">
        <v>2013</v>
      </c>
      <c r="O10" s="612">
        <v>2012</v>
      </c>
      <c r="P10" s="612">
        <v>2013</v>
      </c>
      <c r="Q10" s="599">
        <v>2012</v>
      </c>
      <c r="R10" s="599">
        <v>2013</v>
      </c>
      <c r="S10" s="600">
        <v>2012</v>
      </c>
      <c r="T10" s="616">
        <v>2012</v>
      </c>
      <c r="U10" s="606"/>
      <c r="V10" s="607">
        <v>2013</v>
      </c>
      <c r="W10" s="615">
        <v>2013</v>
      </c>
      <c r="X10" s="615">
        <v>2013</v>
      </c>
      <c r="Y10" s="615">
        <v>2013</v>
      </c>
      <c r="Z10" s="608">
        <v>2013</v>
      </c>
    </row>
    <row r="11" spans="1:26" ht="12.75" customHeight="1">
      <c r="A11" s="613"/>
      <c r="B11" s="614"/>
      <c r="C11" s="614"/>
      <c r="D11" s="614"/>
      <c r="E11" s="614"/>
      <c r="F11" s="610"/>
      <c r="G11" s="610"/>
      <c r="H11" s="610"/>
      <c r="I11" s="611"/>
      <c r="J11" s="611"/>
      <c r="K11" s="611"/>
      <c r="L11" s="612"/>
      <c r="M11" s="612"/>
      <c r="N11" s="612"/>
      <c r="O11" s="612"/>
      <c r="P11" s="612"/>
      <c r="Q11" s="599"/>
      <c r="R11" s="599"/>
      <c r="S11" s="600"/>
      <c r="T11" s="616"/>
      <c r="U11" s="606"/>
      <c r="V11" s="607"/>
      <c r="W11" s="615"/>
      <c r="X11" s="615"/>
      <c r="Y11" s="615"/>
      <c r="Z11" s="609"/>
    </row>
    <row r="12" spans="1:26" ht="18.75" customHeight="1">
      <c r="A12" s="326"/>
      <c r="B12" s="325"/>
      <c r="C12" s="325" t="s">
        <v>43</v>
      </c>
      <c r="D12" s="325" t="s">
        <v>44</v>
      </c>
      <c r="E12" s="325" t="s">
        <v>45</v>
      </c>
      <c r="F12" s="390" t="s">
        <v>40</v>
      </c>
      <c r="G12" s="390" t="s">
        <v>41</v>
      </c>
      <c r="H12" s="390" t="s">
        <v>42</v>
      </c>
      <c r="I12" s="1" t="s">
        <v>36</v>
      </c>
      <c r="J12" s="1" t="s">
        <v>37</v>
      </c>
      <c r="K12" s="1" t="s">
        <v>38</v>
      </c>
      <c r="L12" s="379" t="s">
        <v>39</v>
      </c>
      <c r="M12" s="379"/>
      <c r="N12" s="379"/>
      <c r="O12" s="379"/>
      <c r="P12" s="379"/>
      <c r="Q12" s="389" t="s">
        <v>33</v>
      </c>
      <c r="R12" s="389" t="s">
        <v>35</v>
      </c>
      <c r="S12" s="390" t="s">
        <v>176</v>
      </c>
      <c r="T12" s="391" t="s">
        <v>34</v>
      </c>
      <c r="U12" s="384" t="s">
        <v>32</v>
      </c>
      <c r="V12" s="392" t="s">
        <v>31</v>
      </c>
      <c r="W12" s="393" t="s">
        <v>30</v>
      </c>
      <c r="X12" s="393" t="s">
        <v>28</v>
      </c>
      <c r="Y12" s="393" t="s">
        <v>27</v>
      </c>
      <c r="Z12" s="394" t="s">
        <v>26</v>
      </c>
    </row>
    <row r="13" spans="1:26" s="558" customFormat="1" ht="101.25" customHeight="1">
      <c r="A13" s="555">
        <v>1</v>
      </c>
      <c r="B13" s="556">
        <v>2</v>
      </c>
      <c r="C13" s="556">
        <v>3</v>
      </c>
      <c r="D13" s="556">
        <v>4</v>
      </c>
      <c r="E13" s="556">
        <v>5</v>
      </c>
      <c r="F13" s="556">
        <v>6</v>
      </c>
      <c r="G13" s="556">
        <v>7</v>
      </c>
      <c r="H13" s="556">
        <v>8</v>
      </c>
      <c r="I13" s="557" t="s">
        <v>9</v>
      </c>
      <c r="J13" s="557" t="s">
        <v>10</v>
      </c>
      <c r="K13" s="557" t="s">
        <v>11</v>
      </c>
      <c r="L13" s="557" t="s">
        <v>7</v>
      </c>
      <c r="M13" s="557" t="s">
        <v>21</v>
      </c>
      <c r="N13" s="557" t="s">
        <v>22</v>
      </c>
      <c r="O13" s="557" t="s">
        <v>23</v>
      </c>
      <c r="P13" s="557" t="s">
        <v>24</v>
      </c>
      <c r="Q13" s="557" t="s">
        <v>19</v>
      </c>
      <c r="R13" s="557" t="s">
        <v>20</v>
      </c>
      <c r="S13" s="557">
        <v>19</v>
      </c>
      <c r="T13" s="557" t="s">
        <v>17</v>
      </c>
      <c r="U13" s="557" t="s">
        <v>25</v>
      </c>
      <c r="V13" s="557" t="s">
        <v>187</v>
      </c>
      <c r="W13" s="557" t="s">
        <v>16</v>
      </c>
      <c r="X13" s="557" t="s">
        <v>190</v>
      </c>
      <c r="Y13" s="557">
        <v>25</v>
      </c>
      <c r="Z13" s="557" t="s">
        <v>18</v>
      </c>
    </row>
    <row r="14" spans="1:26" ht="18.75">
      <c r="A14" s="321">
        <v>1</v>
      </c>
      <c r="B14" s="322" t="s">
        <v>205</v>
      </c>
      <c r="C14" s="323">
        <v>1.594</v>
      </c>
      <c r="D14" s="323">
        <v>1.52</v>
      </c>
      <c r="E14" s="323">
        <v>1.495</v>
      </c>
      <c r="F14" s="572">
        <v>33528</v>
      </c>
      <c r="G14" s="573">
        <v>52524</v>
      </c>
      <c r="H14" s="573">
        <v>42718</v>
      </c>
      <c r="I14" s="419">
        <f aca="true" t="shared" si="0" ref="I14:K43">(F14/C14)/(F$46/C$46)</f>
        <v>0.11199889788706818</v>
      </c>
      <c r="J14" s="419">
        <f t="shared" si="0"/>
        <v>0.14357717089460165</v>
      </c>
      <c r="K14" s="419">
        <f t="shared" si="0"/>
        <v>0.1041126953267186</v>
      </c>
      <c r="L14" s="419">
        <f aca="true" t="shared" si="1" ref="L14:L43">K14-I14</f>
        <v>-0.007886202560349581</v>
      </c>
      <c r="M14" s="419">
        <f aca="true" t="shared" si="2" ref="M14:M43">EXP(LN(J14)+2*LN(K14)-2/3*(LN(I14)+LN(J14)+LN(K14)))</f>
        <v>0.11038012570326554</v>
      </c>
      <c r="N14" s="419">
        <f aca="true" t="shared" si="3" ref="N14:N43">EXP(LN(K14)-(2*(LN(I14)-LN(J14))+(LN(J14)-LN(K14)))/3-((LN(I14)-LN(J14))+(LN(J14)-LN(K14)))/2)</f>
        <v>0.10642308759493603</v>
      </c>
      <c r="O14" s="419">
        <f aca="true" t="shared" si="4" ref="O14:O43">J14+2*K14-2/3*(I14+J14+K14)</f>
        <v>0.11201005214244655</v>
      </c>
      <c r="P14" s="419">
        <f aca="true" t="shared" si="5" ref="P14:P43">K14-(2*(I14-J14)+(J14-K14))/3-((I14-J14)+(J14-K14))/2</f>
        <v>0.10806695086227178</v>
      </c>
      <c r="Q14" s="419">
        <f aca="true" t="shared" si="6" ref="Q14:Q43">IF(L14&lt;0,M14,O14)</f>
        <v>0.11038012570326554</v>
      </c>
      <c r="R14" s="419">
        <f aca="true" t="shared" si="7" ref="R14:R43">IF(L14&lt;0,N14,P14)</f>
        <v>0.10642308759493603</v>
      </c>
      <c r="S14" s="395">
        <v>56695</v>
      </c>
      <c r="T14" s="419">
        <f aca="true" t="shared" si="8" ref="T14:T43">(S14/E14)/(S$46/E$46)</f>
        <v>0.11189189684144481</v>
      </c>
      <c r="U14" s="419">
        <f aca="true" t="shared" si="9" ref="U14:U43">T14/Q14</f>
        <v>1.0136960447231538</v>
      </c>
      <c r="V14" s="421">
        <f aca="true" t="shared" si="10" ref="V14:V43">R14*U14*(C14+D14+E14)*Q$49/(C$46+D$46+E$46)</f>
        <v>63112.79424861941</v>
      </c>
      <c r="W14" s="419">
        <f aca="true" t="shared" si="11" ref="W14:W43">(V14/E14)/(V$46/E$46)</f>
        <v>0.10914559879823563</v>
      </c>
      <c r="X14" s="421">
        <f aca="true" t="shared" si="12" ref="X14:X43">W14*E14/E$46*Q$49</f>
        <v>63248.36243412299</v>
      </c>
      <c r="Y14" s="324"/>
      <c r="Z14" s="576">
        <f>ROUND(X14+Y14+2,)</f>
        <v>63250</v>
      </c>
    </row>
    <row r="15" spans="1:26" ht="18.75">
      <c r="A15" s="50">
        <v>2</v>
      </c>
      <c r="B15" s="65" t="s">
        <v>206</v>
      </c>
      <c r="C15" s="82">
        <v>0.192</v>
      </c>
      <c r="D15" s="82">
        <v>0.195</v>
      </c>
      <c r="E15" s="82">
        <v>0.192</v>
      </c>
      <c r="F15" s="43">
        <v>4956</v>
      </c>
      <c r="G15" s="44">
        <v>11751</v>
      </c>
      <c r="H15" s="44">
        <v>5528</v>
      </c>
      <c r="I15" s="420">
        <f t="shared" si="0"/>
        <v>0.13744358904276</v>
      </c>
      <c r="J15" s="420">
        <f t="shared" si="0"/>
        <v>0.25038678381724844</v>
      </c>
      <c r="K15" s="420">
        <f t="shared" si="0"/>
        <v>0.10490610841623166</v>
      </c>
      <c r="L15" s="420">
        <f t="shared" si="1"/>
        <v>-0.03253748062652834</v>
      </c>
      <c r="M15" s="420">
        <f t="shared" si="2"/>
        <v>0.11709054967484707</v>
      </c>
      <c r="N15" s="420">
        <f t="shared" si="3"/>
        <v>0.10229631500817178</v>
      </c>
      <c r="O15" s="420">
        <f t="shared" si="4"/>
        <v>0.13170801313221836</v>
      </c>
      <c r="P15" s="420">
        <f t="shared" si="5"/>
        <v>0.11543927281895419</v>
      </c>
      <c r="Q15" s="420">
        <f t="shared" si="6"/>
        <v>0.11709054967484707</v>
      </c>
      <c r="R15" s="420">
        <f t="shared" si="7"/>
        <v>0.10229631500817178</v>
      </c>
      <c r="S15" s="395">
        <v>9663</v>
      </c>
      <c r="T15" s="420">
        <f t="shared" si="8"/>
        <v>0.14849294486694406</v>
      </c>
      <c r="U15" s="420">
        <f t="shared" si="9"/>
        <v>1.2681889809151927</v>
      </c>
      <c r="V15" s="422">
        <f t="shared" si="10"/>
        <v>9534.317766665385</v>
      </c>
      <c r="W15" s="420">
        <f t="shared" si="11"/>
        <v>0.1283862180035987</v>
      </c>
      <c r="X15" s="422">
        <f t="shared" si="12"/>
        <v>9554.79776877953</v>
      </c>
      <c r="Y15" s="4"/>
      <c r="Z15" s="576">
        <f>ROUND(X15+Y15-5,)</f>
        <v>9550</v>
      </c>
    </row>
    <row r="16" spans="1:26" ht="18.75">
      <c r="A16" s="50">
        <v>3</v>
      </c>
      <c r="B16" s="65" t="s">
        <v>207</v>
      </c>
      <c r="C16" s="82">
        <v>0.327</v>
      </c>
      <c r="D16" s="82">
        <v>0.327</v>
      </c>
      <c r="E16" s="82">
        <v>0.322</v>
      </c>
      <c r="F16" s="43">
        <v>9865</v>
      </c>
      <c r="G16" s="44">
        <v>10657</v>
      </c>
      <c r="H16" s="44">
        <v>18911</v>
      </c>
      <c r="I16" s="420">
        <f t="shared" si="0"/>
        <v>0.16063632327423888</v>
      </c>
      <c r="J16" s="420">
        <f t="shared" si="0"/>
        <v>0.1354123889390847</v>
      </c>
      <c r="K16" s="420">
        <f t="shared" si="0"/>
        <v>0.21398956409481518</v>
      </c>
      <c r="L16" s="420">
        <f t="shared" si="1"/>
        <v>0.0533532408205763</v>
      </c>
      <c r="M16" s="420">
        <f t="shared" si="2"/>
        <v>0.22242337273571589</v>
      </c>
      <c r="N16" s="420">
        <f t="shared" si="3"/>
        <v>0.25671712555324117</v>
      </c>
      <c r="O16" s="420">
        <f t="shared" si="4"/>
        <v>0.22336599958995584</v>
      </c>
      <c r="P16" s="420">
        <f t="shared" si="5"/>
        <v>0.250042620000244</v>
      </c>
      <c r="Q16" s="420">
        <f t="shared" si="6"/>
        <v>0.22336599958995584</v>
      </c>
      <c r="R16" s="420">
        <f t="shared" si="7"/>
        <v>0.250042620000244</v>
      </c>
      <c r="S16" s="396">
        <v>44221</v>
      </c>
      <c r="T16" s="420">
        <f t="shared" si="8"/>
        <v>0.40519843279787776</v>
      </c>
      <c r="U16" s="420">
        <f t="shared" si="9"/>
        <v>1.8140560046816472</v>
      </c>
      <c r="V16" s="422">
        <f t="shared" si="10"/>
        <v>56192.92552669188</v>
      </c>
      <c r="W16" s="420">
        <f t="shared" si="11"/>
        <v>0.4511861745313965</v>
      </c>
      <c r="X16" s="422">
        <f t="shared" si="12"/>
        <v>56313.62962548019</v>
      </c>
      <c r="Y16" s="4"/>
      <c r="Z16" s="576">
        <f>ROUND(X16+Y16-14,)</f>
        <v>56300</v>
      </c>
    </row>
    <row r="17" spans="1:26" ht="18.75">
      <c r="A17" s="50">
        <v>4</v>
      </c>
      <c r="B17" s="65" t="s">
        <v>208</v>
      </c>
      <c r="C17" s="82">
        <v>0.701</v>
      </c>
      <c r="D17" s="82">
        <v>0.715</v>
      </c>
      <c r="E17" s="82">
        <v>0.703</v>
      </c>
      <c r="F17" s="43">
        <v>19291</v>
      </c>
      <c r="G17" s="44">
        <v>23433</v>
      </c>
      <c r="H17" s="44">
        <v>24783</v>
      </c>
      <c r="I17" s="420">
        <f t="shared" si="0"/>
        <v>0.14653154925541212</v>
      </c>
      <c r="J17" s="420">
        <f t="shared" si="0"/>
        <v>0.13617363718034634</v>
      </c>
      <c r="K17" s="420">
        <f t="shared" si="0"/>
        <v>0.1284495310301463</v>
      </c>
      <c r="L17" s="420">
        <f t="shared" si="1"/>
        <v>-0.01808201822526581</v>
      </c>
      <c r="M17" s="420">
        <f t="shared" si="2"/>
        <v>0.11996473958730529</v>
      </c>
      <c r="N17" s="420">
        <f t="shared" si="3"/>
        <v>0.11231927885814484</v>
      </c>
      <c r="O17" s="420">
        <f t="shared" si="4"/>
        <v>0.11896955426336908</v>
      </c>
      <c r="P17" s="420">
        <f t="shared" si="5"/>
        <v>0.1099285451507362</v>
      </c>
      <c r="Q17" s="420">
        <f t="shared" si="6"/>
        <v>0.11996473958730529</v>
      </c>
      <c r="R17" s="420">
        <f t="shared" si="7"/>
        <v>0.11231927885814484</v>
      </c>
      <c r="S17" s="396">
        <v>26745</v>
      </c>
      <c r="T17" s="420">
        <f t="shared" si="8"/>
        <v>0.11224896532484006</v>
      </c>
      <c r="U17" s="420">
        <f t="shared" si="9"/>
        <v>0.9356829824412697</v>
      </c>
      <c r="V17" s="422">
        <f t="shared" si="10"/>
        <v>28267.089093870236</v>
      </c>
      <c r="W17" s="420">
        <f t="shared" si="11"/>
        <v>0.10395748750748118</v>
      </c>
      <c r="X17" s="422">
        <f t="shared" si="12"/>
        <v>28327.807653768385</v>
      </c>
      <c r="Y17" s="4"/>
      <c r="Z17" s="576">
        <f>ROUND(X17+Y17+2,)</f>
        <v>28330</v>
      </c>
    </row>
    <row r="18" spans="1:26" ht="18.75">
      <c r="A18" s="50">
        <v>5</v>
      </c>
      <c r="B18" s="65" t="s">
        <v>209</v>
      </c>
      <c r="C18" s="82">
        <v>0.566</v>
      </c>
      <c r="D18" s="82">
        <v>0.569</v>
      </c>
      <c r="E18" s="82">
        <v>0.56</v>
      </c>
      <c r="F18" s="43">
        <v>29451</v>
      </c>
      <c r="G18" s="44">
        <v>35372</v>
      </c>
      <c r="H18" s="44">
        <v>45871</v>
      </c>
      <c r="I18" s="420">
        <f t="shared" si="0"/>
        <v>0.27706268129592654</v>
      </c>
      <c r="J18" s="420">
        <f t="shared" si="0"/>
        <v>0.2582965091630872</v>
      </c>
      <c r="K18" s="420">
        <f t="shared" si="0"/>
        <v>0.29845863753324137</v>
      </c>
      <c r="L18" s="420">
        <f t="shared" si="1"/>
        <v>0.021395956237314828</v>
      </c>
      <c r="M18" s="420">
        <f t="shared" si="2"/>
        <v>0.2988819535389807</v>
      </c>
      <c r="N18" s="420">
        <f t="shared" si="3"/>
        <v>0.3102078279334577</v>
      </c>
      <c r="O18" s="420">
        <f t="shared" si="4"/>
        <v>0.29933523223473313</v>
      </c>
      <c r="P18" s="420">
        <f t="shared" si="5"/>
        <v>0.3100332103533906</v>
      </c>
      <c r="Q18" s="420">
        <f t="shared" si="6"/>
        <v>0.29933523223473313</v>
      </c>
      <c r="R18" s="420">
        <f t="shared" si="7"/>
        <v>0.3100332103533906</v>
      </c>
      <c r="S18" s="396">
        <v>57749</v>
      </c>
      <c r="T18" s="420">
        <f t="shared" si="8"/>
        <v>0.3042646586462465</v>
      </c>
      <c r="U18" s="420">
        <f t="shared" si="9"/>
        <v>1.0164679124963407</v>
      </c>
      <c r="V18" s="422">
        <f t="shared" si="10"/>
        <v>67801.40400588988</v>
      </c>
      <c r="W18" s="420">
        <f t="shared" si="11"/>
        <v>0.3130261877872501</v>
      </c>
      <c r="X18" s="422">
        <f t="shared" si="12"/>
        <v>67947.04346655875</v>
      </c>
      <c r="Y18" s="4"/>
      <c r="Z18" s="576">
        <f>ROUND(X18+Y18+3,)</f>
        <v>67950</v>
      </c>
    </row>
    <row r="19" spans="1:26" ht="18.75">
      <c r="A19" s="50">
        <v>6</v>
      </c>
      <c r="B19" s="65" t="s">
        <v>210</v>
      </c>
      <c r="C19" s="82">
        <v>4.431</v>
      </c>
      <c r="D19" s="82">
        <v>4.432</v>
      </c>
      <c r="E19" s="82">
        <v>4.358</v>
      </c>
      <c r="F19" s="43">
        <v>312075</v>
      </c>
      <c r="G19" s="44">
        <v>420336</v>
      </c>
      <c r="H19" s="44">
        <v>476436</v>
      </c>
      <c r="I19" s="420">
        <f t="shared" si="0"/>
        <v>0.3750175976806099</v>
      </c>
      <c r="J19" s="420">
        <f t="shared" si="0"/>
        <v>0.3940651440200871</v>
      </c>
      <c r="K19" s="420">
        <f t="shared" si="0"/>
        <v>0.3983376115736709</v>
      </c>
      <c r="L19" s="420">
        <f t="shared" si="1"/>
        <v>0.023320013893061042</v>
      </c>
      <c r="M19" s="420">
        <f t="shared" si="2"/>
        <v>0.4131965269281133</v>
      </c>
      <c r="N19" s="420">
        <f t="shared" si="3"/>
        <v>0.42584984767588585</v>
      </c>
      <c r="O19" s="420">
        <f t="shared" si="4"/>
        <v>0.41246013165118356</v>
      </c>
      <c r="P19" s="420">
        <f t="shared" si="5"/>
        <v>0.4241201385977142</v>
      </c>
      <c r="Q19" s="420">
        <f t="shared" si="6"/>
        <v>0.41246013165118356</v>
      </c>
      <c r="R19" s="420">
        <f t="shared" si="7"/>
        <v>0.4241201385977142</v>
      </c>
      <c r="S19" s="396">
        <v>629457</v>
      </c>
      <c r="T19" s="420">
        <f t="shared" si="8"/>
        <v>0.42616120418843584</v>
      </c>
      <c r="U19" s="420">
        <f t="shared" si="9"/>
        <v>1.033217931833565</v>
      </c>
      <c r="V19" s="422">
        <f t="shared" si="10"/>
        <v>735380.7013910561</v>
      </c>
      <c r="W19" s="420">
        <f t="shared" si="11"/>
        <v>0.4362696631948823</v>
      </c>
      <c r="X19" s="422">
        <f t="shared" si="12"/>
        <v>736960.3213164426</v>
      </c>
      <c r="Y19" s="4"/>
      <c r="Z19" s="576">
        <f>ROUND(X19+Y19,)</f>
        <v>736960</v>
      </c>
    </row>
    <row r="20" spans="1:26" ht="18.75">
      <c r="A20" s="50">
        <v>7</v>
      </c>
      <c r="B20" s="65" t="s">
        <v>211</v>
      </c>
      <c r="C20" s="82">
        <v>0.69</v>
      </c>
      <c r="D20" s="82">
        <v>0.67</v>
      </c>
      <c r="E20" s="82">
        <v>0.659</v>
      </c>
      <c r="F20" s="43">
        <v>24380</v>
      </c>
      <c r="G20" s="44">
        <v>37139</v>
      </c>
      <c r="H20" s="44">
        <v>43403</v>
      </c>
      <c r="I20" s="420">
        <f t="shared" si="0"/>
        <v>0.18813908556619932</v>
      </c>
      <c r="J20" s="420">
        <f t="shared" si="0"/>
        <v>0.23031731551799514</v>
      </c>
      <c r="K20" s="420">
        <f t="shared" si="0"/>
        <v>0.23997627367289576</v>
      </c>
      <c r="L20" s="420">
        <f t="shared" si="1"/>
        <v>0.051837188106696436</v>
      </c>
      <c r="M20" s="420">
        <f t="shared" si="2"/>
        <v>0.27840727822856925</v>
      </c>
      <c r="N20" s="420">
        <f t="shared" si="3"/>
        <v>0.3144309029308096</v>
      </c>
      <c r="O20" s="420">
        <f t="shared" si="4"/>
        <v>0.2713147463590599</v>
      </c>
      <c r="P20" s="420">
        <f t="shared" si="5"/>
        <v>0.29723334041240806</v>
      </c>
      <c r="Q20" s="420">
        <f t="shared" si="6"/>
        <v>0.2713147463590599</v>
      </c>
      <c r="R20" s="420">
        <f t="shared" si="7"/>
        <v>0.29723334041240806</v>
      </c>
      <c r="S20" s="396">
        <v>46499</v>
      </c>
      <c r="T20" s="420">
        <f t="shared" si="8"/>
        <v>0.20818683741114433</v>
      </c>
      <c r="U20" s="420">
        <f t="shared" si="9"/>
        <v>0.7673259201902294</v>
      </c>
      <c r="V20" s="422">
        <f t="shared" si="10"/>
        <v>58449.50045768852</v>
      </c>
      <c r="W20" s="420">
        <f t="shared" si="11"/>
        <v>0.22931127084518418</v>
      </c>
      <c r="X20" s="422">
        <f t="shared" si="12"/>
        <v>58575.051747486046</v>
      </c>
      <c r="Y20" s="4"/>
      <c r="Z20" s="576">
        <f>ROUND(X20+Y20-5,)</f>
        <v>58570</v>
      </c>
    </row>
    <row r="21" spans="1:26" ht="18.75">
      <c r="A21" s="50">
        <v>8</v>
      </c>
      <c r="B21" s="65" t="s">
        <v>212</v>
      </c>
      <c r="C21" s="82">
        <v>1.521</v>
      </c>
      <c r="D21" s="82">
        <v>1.501</v>
      </c>
      <c r="E21" s="82">
        <v>1.476</v>
      </c>
      <c r="F21" s="43">
        <v>80653</v>
      </c>
      <c r="G21" s="44">
        <v>91582</v>
      </c>
      <c r="H21" s="44">
        <v>87359</v>
      </c>
      <c r="I21" s="420">
        <f t="shared" si="0"/>
        <v>0.2823486596734523</v>
      </c>
      <c r="J21" s="420">
        <f t="shared" si="0"/>
        <v>0.25351322389802106</v>
      </c>
      <c r="K21" s="420">
        <f t="shared" si="0"/>
        <v>0.21565288259347432</v>
      </c>
      <c r="L21" s="420">
        <f t="shared" si="1"/>
        <v>-0.06669577707997798</v>
      </c>
      <c r="M21" s="420">
        <f t="shared" si="2"/>
        <v>0.19017353351417698</v>
      </c>
      <c r="N21" s="420">
        <f t="shared" si="3"/>
        <v>0.16620146383891607</v>
      </c>
      <c r="O21" s="420">
        <f t="shared" si="4"/>
        <v>0.18380914497500456</v>
      </c>
      <c r="P21" s="420">
        <f t="shared" si="5"/>
        <v>0.1504612564350156</v>
      </c>
      <c r="Q21" s="420">
        <f t="shared" si="6"/>
        <v>0.19017353351417698</v>
      </c>
      <c r="R21" s="420">
        <f t="shared" si="7"/>
        <v>0.16620146383891607</v>
      </c>
      <c r="S21" s="396">
        <v>241984</v>
      </c>
      <c r="T21" s="420">
        <f t="shared" si="8"/>
        <v>0.4837214690609486</v>
      </c>
      <c r="U21" s="420">
        <f t="shared" si="9"/>
        <v>2.543579330532281</v>
      </c>
      <c r="V21" s="422">
        <f t="shared" si="10"/>
        <v>241360.7666033025</v>
      </c>
      <c r="W21" s="420">
        <f t="shared" si="11"/>
        <v>0.4227760054741326</v>
      </c>
      <c r="X21" s="422">
        <f t="shared" si="12"/>
        <v>241879.2168093141</v>
      </c>
      <c r="Y21" s="4"/>
      <c r="Z21" s="576">
        <f>ROUND(X21+Y21+1,)</f>
        <v>241880</v>
      </c>
    </row>
    <row r="22" spans="1:26" ht="18.75">
      <c r="A22" s="50">
        <v>9</v>
      </c>
      <c r="B22" s="65" t="s">
        <v>213</v>
      </c>
      <c r="C22" s="82">
        <v>1.584</v>
      </c>
      <c r="D22" s="82">
        <v>1.529</v>
      </c>
      <c r="E22" s="82">
        <v>1.504</v>
      </c>
      <c r="F22" s="43">
        <v>141910</v>
      </c>
      <c r="G22" s="44">
        <v>145136</v>
      </c>
      <c r="H22" s="44">
        <v>156447</v>
      </c>
      <c r="I22" s="420">
        <f t="shared" si="0"/>
        <v>0.477037193265783</v>
      </c>
      <c r="J22" s="420">
        <f t="shared" si="0"/>
        <v>0.3944017661182605</v>
      </c>
      <c r="K22" s="420">
        <f t="shared" si="0"/>
        <v>0.3790123612878543</v>
      </c>
      <c r="L22" s="420">
        <f t="shared" si="1"/>
        <v>-0.09802483197792866</v>
      </c>
      <c r="M22" s="420">
        <f t="shared" si="2"/>
        <v>0.3294700604550256</v>
      </c>
      <c r="N22" s="420">
        <f t="shared" si="3"/>
        <v>0.2936746922302812</v>
      </c>
      <c r="O22" s="420">
        <f t="shared" si="4"/>
        <v>0.3187922749127038</v>
      </c>
      <c r="P22" s="420">
        <f t="shared" si="5"/>
        <v>0.2697798589237396</v>
      </c>
      <c r="Q22" s="420">
        <f t="shared" si="6"/>
        <v>0.3294700604550256</v>
      </c>
      <c r="R22" s="420">
        <f t="shared" si="7"/>
        <v>0.2936746922302812</v>
      </c>
      <c r="S22" s="396">
        <v>158228</v>
      </c>
      <c r="T22" s="420">
        <f t="shared" si="8"/>
        <v>0.31040633185685457</v>
      </c>
      <c r="U22" s="420">
        <f t="shared" si="9"/>
        <v>0.9421382065130822</v>
      </c>
      <c r="V22" s="422">
        <f t="shared" si="10"/>
        <v>162146.69711373252</v>
      </c>
      <c r="W22" s="420">
        <f t="shared" si="11"/>
        <v>0.27873421510577145</v>
      </c>
      <c r="X22" s="422">
        <f t="shared" si="12"/>
        <v>162494.99310941473</v>
      </c>
      <c r="Y22" s="4"/>
      <c r="Z22" s="576">
        <f>ROUND(X22+Y22+5,)</f>
        <v>162500</v>
      </c>
    </row>
    <row r="23" spans="1:26" ht="18.75">
      <c r="A23" s="50">
        <v>10</v>
      </c>
      <c r="B23" s="65" t="s">
        <v>214</v>
      </c>
      <c r="C23" s="82">
        <v>0.824</v>
      </c>
      <c r="D23" s="82">
        <v>0.794</v>
      </c>
      <c r="E23" s="82">
        <v>0.781</v>
      </c>
      <c r="F23" s="43">
        <v>24634</v>
      </c>
      <c r="G23" s="44">
        <v>55417</v>
      </c>
      <c r="H23" s="44">
        <v>27114</v>
      </c>
      <c r="I23" s="420">
        <f t="shared" si="0"/>
        <v>0.1591850007042643</v>
      </c>
      <c r="J23" s="420">
        <f t="shared" si="0"/>
        <v>0.2899971273966382</v>
      </c>
      <c r="K23" s="420">
        <f t="shared" si="0"/>
        <v>0.12649592319458505</v>
      </c>
      <c r="L23" s="420">
        <f t="shared" si="1"/>
        <v>-0.032689077509679254</v>
      </c>
      <c r="M23" s="420">
        <f t="shared" si="2"/>
        <v>0.14309743246967419</v>
      </c>
      <c r="N23" s="420">
        <f t="shared" si="3"/>
        <v>0.12756132865566222</v>
      </c>
      <c r="O23" s="420">
        <f t="shared" si="4"/>
        <v>0.15920360625548324</v>
      </c>
      <c r="P23" s="420">
        <f t="shared" si="5"/>
        <v>0.14285906750064364</v>
      </c>
      <c r="Q23" s="420">
        <f t="shared" si="6"/>
        <v>0.14309743246967419</v>
      </c>
      <c r="R23" s="420">
        <f t="shared" si="7"/>
        <v>0.12756132865566222</v>
      </c>
      <c r="S23" s="396">
        <v>109167</v>
      </c>
      <c r="T23" s="420">
        <f t="shared" si="8"/>
        <v>0.4124159101489225</v>
      </c>
      <c r="U23" s="420">
        <f t="shared" si="9"/>
        <v>2.882063661319174</v>
      </c>
      <c r="V23" s="422">
        <f t="shared" si="10"/>
        <v>111948.92960070753</v>
      </c>
      <c r="W23" s="420">
        <f t="shared" si="11"/>
        <v>0.37059446066134877</v>
      </c>
      <c r="X23" s="422">
        <f t="shared" si="12"/>
        <v>112189.39927782642</v>
      </c>
      <c r="Y23" s="4"/>
      <c r="Z23" s="576">
        <f>ROUND(X23+Y23+11,)</f>
        <v>112200</v>
      </c>
    </row>
    <row r="24" spans="1:26" ht="18.75">
      <c r="A24" s="50">
        <v>11</v>
      </c>
      <c r="B24" s="65" t="s">
        <v>215</v>
      </c>
      <c r="C24" s="82">
        <v>0.363</v>
      </c>
      <c r="D24" s="82">
        <v>0.345</v>
      </c>
      <c r="E24" s="82">
        <v>0.339</v>
      </c>
      <c r="F24" s="43">
        <v>14445</v>
      </c>
      <c r="G24" s="44">
        <v>18071</v>
      </c>
      <c r="H24" s="44">
        <v>18128</v>
      </c>
      <c r="I24" s="420">
        <f t="shared" si="0"/>
        <v>0.2118875012477584</v>
      </c>
      <c r="J24" s="420">
        <f t="shared" si="0"/>
        <v>0.21763777519285857</v>
      </c>
      <c r="K24" s="420">
        <f t="shared" si="0"/>
        <v>0.19484271181890525</v>
      </c>
      <c r="L24" s="420">
        <f t="shared" si="1"/>
        <v>-0.017044789428853152</v>
      </c>
      <c r="M24" s="420">
        <f t="shared" si="2"/>
        <v>0.19117015261477588</v>
      </c>
      <c r="N24" s="420">
        <f t="shared" si="3"/>
        <v>0.18331985280606303</v>
      </c>
      <c r="O24" s="420">
        <f t="shared" si="4"/>
        <v>0.19107787332432097</v>
      </c>
      <c r="P24" s="420">
        <f t="shared" si="5"/>
        <v>0.18255547860989435</v>
      </c>
      <c r="Q24" s="420">
        <f t="shared" si="6"/>
        <v>0.19117015261477588</v>
      </c>
      <c r="R24" s="420">
        <f t="shared" si="7"/>
        <v>0.18331985280606303</v>
      </c>
      <c r="S24" s="396">
        <v>14447</v>
      </c>
      <c r="T24" s="420">
        <f t="shared" si="8"/>
        <v>0.12573988067570524</v>
      </c>
      <c r="U24" s="420">
        <f t="shared" si="9"/>
        <v>0.657738035754367</v>
      </c>
      <c r="V24" s="422">
        <f t="shared" si="10"/>
        <v>16024.195405094522</v>
      </c>
      <c r="W24" s="420">
        <f t="shared" si="11"/>
        <v>0.12220994427511013</v>
      </c>
      <c r="X24" s="422">
        <f t="shared" si="12"/>
        <v>16058.615860108222</v>
      </c>
      <c r="Y24" s="4"/>
      <c r="Z24" s="576">
        <f>ROUND(X24+Y24-9,)</f>
        <v>16050</v>
      </c>
    </row>
    <row r="25" spans="1:26" ht="18.75">
      <c r="A25" s="50">
        <v>12</v>
      </c>
      <c r="B25" s="65" t="s">
        <v>216</v>
      </c>
      <c r="C25" s="82">
        <v>0.299</v>
      </c>
      <c r="D25" s="82">
        <v>0.264</v>
      </c>
      <c r="E25" s="82">
        <v>0.26</v>
      </c>
      <c r="F25" s="43">
        <v>11648</v>
      </c>
      <c r="G25" s="44">
        <v>13403</v>
      </c>
      <c r="H25" s="44">
        <v>10218</v>
      </c>
      <c r="I25" s="420">
        <f t="shared" si="0"/>
        <v>0.2074314446275405</v>
      </c>
      <c r="J25" s="420">
        <f t="shared" si="0"/>
        <v>0.210945020276483</v>
      </c>
      <c r="K25" s="420">
        <f t="shared" si="0"/>
        <v>0.14319456072096917</v>
      </c>
      <c r="L25" s="420">
        <f t="shared" si="1"/>
        <v>-0.06423688390657134</v>
      </c>
      <c r="M25" s="420">
        <f t="shared" si="2"/>
        <v>0.12726492519573224</v>
      </c>
      <c r="N25" s="420">
        <f t="shared" si="3"/>
        <v>0.10573887643596803</v>
      </c>
      <c r="O25" s="420">
        <f t="shared" si="4"/>
        <v>0.12295345796842627</v>
      </c>
      <c r="P25" s="420">
        <f t="shared" si="5"/>
        <v>0.09083501601514055</v>
      </c>
      <c r="Q25" s="420">
        <f t="shared" si="6"/>
        <v>0.12726492519573224</v>
      </c>
      <c r="R25" s="420">
        <f t="shared" si="7"/>
        <v>0.10573887643596803</v>
      </c>
      <c r="S25" s="396">
        <v>10596</v>
      </c>
      <c r="T25" s="420">
        <f t="shared" si="8"/>
        <v>0.12024407088559323</v>
      </c>
      <c r="U25" s="420">
        <f t="shared" si="9"/>
        <v>0.9448327628422285</v>
      </c>
      <c r="V25" s="422">
        <f t="shared" si="10"/>
        <v>10436.540545200634</v>
      </c>
      <c r="W25" s="420">
        <f t="shared" si="11"/>
        <v>0.10377989541279432</v>
      </c>
      <c r="X25" s="422">
        <f t="shared" si="12"/>
        <v>10458.958549053765</v>
      </c>
      <c r="Y25" s="4"/>
      <c r="Z25" s="576">
        <f>ROUND(X25+Y25-9,)</f>
        <v>10450</v>
      </c>
    </row>
    <row r="26" spans="1:26" ht="18.75">
      <c r="A26" s="50">
        <v>13</v>
      </c>
      <c r="B26" s="65" t="s">
        <v>217</v>
      </c>
      <c r="C26" s="82">
        <v>0.754</v>
      </c>
      <c r="D26" s="82">
        <v>0.733</v>
      </c>
      <c r="E26" s="82">
        <v>0.721</v>
      </c>
      <c r="F26" s="43">
        <v>17225</v>
      </c>
      <c r="G26" s="44">
        <v>20774</v>
      </c>
      <c r="H26" s="44">
        <v>26130</v>
      </c>
      <c r="I26" s="420">
        <f t="shared" si="0"/>
        <v>0.12164165015055989</v>
      </c>
      <c r="J26" s="420">
        <f t="shared" si="0"/>
        <v>0.11775716445586604</v>
      </c>
      <c r="K26" s="420">
        <f t="shared" si="0"/>
        <v>0.13204991200512875</v>
      </c>
      <c r="L26" s="420">
        <f t="shared" si="1"/>
        <v>0.010408261854568862</v>
      </c>
      <c r="M26" s="420">
        <f t="shared" si="2"/>
        <v>0.13425332979217555</v>
      </c>
      <c r="N26" s="420">
        <f t="shared" si="3"/>
        <v>0.13987914613386412</v>
      </c>
      <c r="O26" s="420">
        <f t="shared" si="4"/>
        <v>0.1342245040584204</v>
      </c>
      <c r="P26" s="420">
        <f t="shared" si="5"/>
        <v>0.13942863498570485</v>
      </c>
      <c r="Q26" s="420">
        <f t="shared" si="6"/>
        <v>0.1342245040584204</v>
      </c>
      <c r="R26" s="420">
        <f t="shared" si="7"/>
        <v>0.13942863498570485</v>
      </c>
      <c r="S26" s="396">
        <v>33584</v>
      </c>
      <c r="T26" s="420">
        <f t="shared" si="8"/>
        <v>0.13743337945044795</v>
      </c>
      <c r="U26" s="420">
        <f t="shared" si="9"/>
        <v>1.0239067777864979</v>
      </c>
      <c r="V26" s="422">
        <f t="shared" si="10"/>
        <v>40010.921721075756</v>
      </c>
      <c r="W26" s="420">
        <f t="shared" si="11"/>
        <v>0.1434740320678221</v>
      </c>
      <c r="X26" s="422">
        <f t="shared" si="12"/>
        <v>40096.8663876466</v>
      </c>
      <c r="Y26" s="4"/>
      <c r="Z26" s="576">
        <f>ROUND(X26+Y26+3,)</f>
        <v>40100</v>
      </c>
    </row>
    <row r="27" spans="1:26" ht="18.75">
      <c r="A27" s="50">
        <v>14</v>
      </c>
      <c r="B27" s="65" t="s">
        <v>218</v>
      </c>
      <c r="C27" s="82">
        <v>1.339</v>
      </c>
      <c r="D27" s="82">
        <v>1.347</v>
      </c>
      <c r="E27" s="82">
        <v>1.325</v>
      </c>
      <c r="F27" s="43">
        <v>85983</v>
      </c>
      <c r="G27" s="44">
        <v>75949</v>
      </c>
      <c r="H27" s="44">
        <v>83339</v>
      </c>
      <c r="I27" s="420">
        <f t="shared" si="0"/>
        <v>0.3419215197395659</v>
      </c>
      <c r="J27" s="420">
        <f t="shared" si="0"/>
        <v>0.2342748406322152</v>
      </c>
      <c r="K27" s="420">
        <f t="shared" si="0"/>
        <v>0.22917454502712276</v>
      </c>
      <c r="L27" s="420">
        <f t="shared" si="1"/>
        <v>-0.11274697471244316</v>
      </c>
      <c r="M27" s="420">
        <f t="shared" si="2"/>
        <v>0.1768124182728674</v>
      </c>
      <c r="N27" s="420">
        <f t="shared" si="3"/>
        <v>0.14475472059635264</v>
      </c>
      <c r="O27" s="420">
        <f t="shared" si="4"/>
        <v>0.1557099937538582</v>
      </c>
      <c r="P27" s="420">
        <f t="shared" si="5"/>
        <v>0.09933650639763655</v>
      </c>
      <c r="Q27" s="420">
        <f t="shared" si="6"/>
        <v>0.1768124182728674</v>
      </c>
      <c r="R27" s="420">
        <f t="shared" si="7"/>
        <v>0.14475472059635264</v>
      </c>
      <c r="S27" s="396">
        <v>99208</v>
      </c>
      <c r="T27" s="420">
        <f t="shared" si="8"/>
        <v>0.22091534605074628</v>
      </c>
      <c r="U27" s="420">
        <f t="shared" si="9"/>
        <v>1.2494334289903588</v>
      </c>
      <c r="V27" s="422">
        <f t="shared" si="10"/>
        <v>92080.06401572107</v>
      </c>
      <c r="W27" s="420">
        <f t="shared" si="11"/>
        <v>0.1796717286681958</v>
      </c>
      <c r="X27" s="422">
        <f t="shared" si="12"/>
        <v>92277.85477032608</v>
      </c>
      <c r="Y27" s="4"/>
      <c r="Z27" s="576">
        <f>ROUND(X27+Y27+2,)</f>
        <v>92280</v>
      </c>
    </row>
    <row r="28" spans="1:26" ht="18.75">
      <c r="A28" s="50">
        <v>15</v>
      </c>
      <c r="B28" s="65" t="s">
        <v>219</v>
      </c>
      <c r="C28" s="82">
        <v>0.807</v>
      </c>
      <c r="D28" s="82">
        <v>0.692</v>
      </c>
      <c r="E28" s="82">
        <v>0.681</v>
      </c>
      <c r="F28" s="43">
        <v>48366</v>
      </c>
      <c r="G28" s="44">
        <v>57358</v>
      </c>
      <c r="H28" s="44">
        <v>68084</v>
      </c>
      <c r="I28" s="420">
        <f t="shared" si="0"/>
        <v>0.3191251670230341</v>
      </c>
      <c r="J28" s="420">
        <f t="shared" si="0"/>
        <v>0.3443967877173654</v>
      </c>
      <c r="K28" s="420">
        <f t="shared" si="0"/>
        <v>0.3642771434063238</v>
      </c>
      <c r="L28" s="420">
        <f t="shared" si="1"/>
        <v>0.04515197638328966</v>
      </c>
      <c r="M28" s="420">
        <f t="shared" si="2"/>
        <v>0.3905004664227141</v>
      </c>
      <c r="N28" s="420">
        <f t="shared" si="3"/>
        <v>0.41721219141506555</v>
      </c>
      <c r="O28" s="420">
        <f t="shared" si="4"/>
        <v>0.3877516757655308</v>
      </c>
      <c r="P28" s="420">
        <f t="shared" si="5"/>
        <v>0.41032766395717557</v>
      </c>
      <c r="Q28" s="420">
        <f t="shared" si="6"/>
        <v>0.3877516757655308</v>
      </c>
      <c r="R28" s="420">
        <f t="shared" si="7"/>
        <v>0.41032766395717557</v>
      </c>
      <c r="S28" s="396">
        <v>77547</v>
      </c>
      <c r="T28" s="420">
        <f t="shared" si="8"/>
        <v>0.3359796386316679</v>
      </c>
      <c r="U28" s="420">
        <f t="shared" si="9"/>
        <v>0.8664814612815009</v>
      </c>
      <c r="V28" s="422">
        <f t="shared" si="10"/>
        <v>98381.54993456349</v>
      </c>
      <c r="W28" s="420">
        <f t="shared" si="11"/>
        <v>0.3735051207680341</v>
      </c>
      <c r="X28" s="422">
        <f t="shared" si="12"/>
        <v>98592.87647097255</v>
      </c>
      <c r="Y28" s="4"/>
      <c r="Z28" s="576">
        <f>ROUND(X28+Y28-3,)</f>
        <v>98590</v>
      </c>
    </row>
    <row r="29" spans="1:26" ht="18.75">
      <c r="A29" s="50">
        <v>16</v>
      </c>
      <c r="B29" s="65" t="s">
        <v>220</v>
      </c>
      <c r="C29" s="82">
        <v>0.569</v>
      </c>
      <c r="D29" s="82">
        <v>0.524</v>
      </c>
      <c r="E29" s="82">
        <v>0.51</v>
      </c>
      <c r="F29" s="43">
        <v>71926</v>
      </c>
      <c r="G29" s="44">
        <v>107284</v>
      </c>
      <c r="H29" s="44">
        <v>127801</v>
      </c>
      <c r="I29" s="420">
        <f t="shared" si="0"/>
        <v>0.6730821302732923</v>
      </c>
      <c r="J29" s="420">
        <f t="shared" si="0"/>
        <v>0.8506969139600085</v>
      </c>
      <c r="K29" s="420">
        <f t="shared" si="0"/>
        <v>0.9130573294766542</v>
      </c>
      <c r="L29" s="420">
        <f t="shared" si="1"/>
        <v>0.23997519920336186</v>
      </c>
      <c r="M29" s="420">
        <f t="shared" si="2"/>
        <v>1.0928074359856472</v>
      </c>
      <c r="N29" s="420">
        <f t="shared" si="3"/>
        <v>1.2727955104383497</v>
      </c>
      <c r="O29" s="420">
        <f t="shared" si="4"/>
        <v>1.0522539904400134</v>
      </c>
      <c r="P29" s="420">
        <f t="shared" si="5"/>
        <v>1.1722415900416943</v>
      </c>
      <c r="Q29" s="420">
        <f t="shared" si="6"/>
        <v>1.0522539904400134</v>
      </c>
      <c r="R29" s="420">
        <f t="shared" si="7"/>
        <v>1.1722415900416943</v>
      </c>
      <c r="S29" s="396">
        <v>108417</v>
      </c>
      <c r="T29" s="420">
        <f t="shared" si="8"/>
        <v>0.6272234384845324</v>
      </c>
      <c r="U29" s="420">
        <f t="shared" si="9"/>
        <v>0.596076084465359</v>
      </c>
      <c r="V29" s="422">
        <f t="shared" si="10"/>
        <v>142173.75678663602</v>
      </c>
      <c r="W29" s="420">
        <f t="shared" si="11"/>
        <v>0.7207410784015312</v>
      </c>
      <c r="X29" s="422">
        <f t="shared" si="12"/>
        <v>142479.15030411942</v>
      </c>
      <c r="Y29" s="4"/>
      <c r="Z29" s="576">
        <f>ROUND(X29+Y29+1,)</f>
        <v>142480</v>
      </c>
    </row>
    <row r="30" spans="1:26" ht="18.75">
      <c r="A30" s="50">
        <v>17</v>
      </c>
      <c r="B30" s="65" t="s">
        <v>221</v>
      </c>
      <c r="C30" s="82">
        <v>0.776</v>
      </c>
      <c r="D30" s="82">
        <v>0.822</v>
      </c>
      <c r="E30" s="82">
        <v>0.808</v>
      </c>
      <c r="F30" s="43">
        <v>35929</v>
      </c>
      <c r="G30" s="44">
        <v>38584</v>
      </c>
      <c r="H30" s="44">
        <v>45452</v>
      </c>
      <c r="I30" s="420">
        <f t="shared" si="0"/>
        <v>0.24653457031613404</v>
      </c>
      <c r="J30" s="420">
        <f t="shared" si="0"/>
        <v>0.19503233405273365</v>
      </c>
      <c r="K30" s="420">
        <f t="shared" si="0"/>
        <v>0.2049630657133969</v>
      </c>
      <c r="L30" s="420">
        <f t="shared" si="1"/>
        <v>-0.04157150460273715</v>
      </c>
      <c r="M30" s="420">
        <f t="shared" si="2"/>
        <v>0.178245181880216</v>
      </c>
      <c r="N30" s="420">
        <f t="shared" si="3"/>
        <v>0.16252369596493763</v>
      </c>
      <c r="O30" s="420">
        <f t="shared" si="4"/>
        <v>0.17393848542468437</v>
      </c>
      <c r="P30" s="420">
        <f t="shared" si="5"/>
        <v>0.1531527331233158</v>
      </c>
      <c r="Q30" s="420">
        <f t="shared" si="6"/>
        <v>0.178245181880216</v>
      </c>
      <c r="R30" s="420">
        <f t="shared" si="7"/>
        <v>0.16252369596493763</v>
      </c>
      <c r="S30" s="396">
        <v>54474</v>
      </c>
      <c r="T30" s="420">
        <f t="shared" si="8"/>
        <v>0.1989174920446429</v>
      </c>
      <c r="U30" s="420">
        <f t="shared" si="9"/>
        <v>1.1159768244300654</v>
      </c>
      <c r="V30" s="422">
        <f t="shared" si="10"/>
        <v>55390.41034040403</v>
      </c>
      <c r="W30" s="420">
        <f t="shared" si="11"/>
        <v>0.17723652797452083</v>
      </c>
      <c r="X30" s="422">
        <f t="shared" si="12"/>
        <v>55509.39061236865</v>
      </c>
      <c r="Y30" s="4">
        <v>56000</v>
      </c>
      <c r="Z30" s="576">
        <f>ROUND(X30+Y30-9,)</f>
        <v>111500</v>
      </c>
    </row>
    <row r="31" spans="1:26" ht="18.75">
      <c r="A31" s="50">
        <v>18</v>
      </c>
      <c r="B31" s="65" t="s">
        <v>222</v>
      </c>
      <c r="C31" s="82">
        <v>0.42</v>
      </c>
      <c r="D31" s="82">
        <v>0.397</v>
      </c>
      <c r="E31" s="82">
        <v>0.39</v>
      </c>
      <c r="F31" s="43">
        <v>17247</v>
      </c>
      <c r="G31" s="44">
        <v>94508</v>
      </c>
      <c r="H31" s="44">
        <v>102930</v>
      </c>
      <c r="I31" s="420">
        <f t="shared" si="0"/>
        <v>0.21865463670891103</v>
      </c>
      <c r="J31" s="420">
        <f t="shared" si="0"/>
        <v>0.9891206133858377</v>
      </c>
      <c r="K31" s="420">
        <f t="shared" si="0"/>
        <v>0.9616373807665791</v>
      </c>
      <c r="L31" s="420">
        <f t="shared" si="1"/>
        <v>0.7429827440576681</v>
      </c>
      <c r="M31" s="420">
        <f t="shared" si="2"/>
        <v>2.6057079573735553</v>
      </c>
      <c r="N31" s="420">
        <f t="shared" si="3"/>
        <v>5.464520531395774</v>
      </c>
      <c r="O31" s="420">
        <f t="shared" si="4"/>
        <v>1.4661202876781108</v>
      </c>
      <c r="P31" s="420">
        <f t="shared" si="5"/>
        <v>1.8376116597069447</v>
      </c>
      <c r="Q31" s="420">
        <f t="shared" si="6"/>
        <v>1.4661202876781108</v>
      </c>
      <c r="R31" s="420">
        <f t="shared" si="7"/>
        <v>1.8376116597069447</v>
      </c>
      <c r="S31" s="396">
        <v>117746</v>
      </c>
      <c r="T31" s="420">
        <f t="shared" si="8"/>
        <v>0.8907926494586045</v>
      </c>
      <c r="U31" s="420">
        <f t="shared" si="9"/>
        <v>0.6075849689450444</v>
      </c>
      <c r="V31" s="422">
        <f t="shared" si="10"/>
        <v>171054.7438384977</v>
      </c>
      <c r="W31" s="420">
        <f t="shared" si="11"/>
        <v>1.133967291718142</v>
      </c>
      <c r="X31" s="422">
        <f t="shared" si="12"/>
        <v>171422.17458720796</v>
      </c>
      <c r="Y31" s="4"/>
      <c r="Z31" s="576">
        <f>ROUND(X31+Y31-22,)</f>
        <v>171400</v>
      </c>
    </row>
    <row r="32" spans="1:26" ht="18.75">
      <c r="A32" s="50">
        <v>19</v>
      </c>
      <c r="B32" s="65" t="s">
        <v>223</v>
      </c>
      <c r="C32" s="82">
        <v>0.518</v>
      </c>
      <c r="D32" s="82">
        <v>0.512</v>
      </c>
      <c r="E32" s="82">
        <v>0.504</v>
      </c>
      <c r="F32" s="43">
        <v>15212</v>
      </c>
      <c r="G32" s="44">
        <v>20238</v>
      </c>
      <c r="H32" s="44">
        <v>22828</v>
      </c>
      <c r="I32" s="420">
        <f t="shared" si="0"/>
        <v>0.1563691139524126</v>
      </c>
      <c r="J32" s="420">
        <f t="shared" si="0"/>
        <v>0.16423617330510226</v>
      </c>
      <c r="K32" s="420">
        <f t="shared" si="0"/>
        <v>0.1650331915736845</v>
      </c>
      <c r="L32" s="420">
        <f t="shared" si="1"/>
        <v>0.008664077621271915</v>
      </c>
      <c r="M32" s="420">
        <f t="shared" si="2"/>
        <v>0.17079848745234577</v>
      </c>
      <c r="N32" s="420">
        <f t="shared" si="3"/>
        <v>0.17546648732667827</v>
      </c>
      <c r="O32" s="420">
        <f t="shared" si="4"/>
        <v>0.17054357056500508</v>
      </c>
      <c r="P32" s="420">
        <f t="shared" si="5"/>
        <v>0.174875609375641</v>
      </c>
      <c r="Q32" s="420">
        <f t="shared" si="6"/>
        <v>0.17054357056500508</v>
      </c>
      <c r="R32" s="420">
        <f t="shared" si="7"/>
        <v>0.174875609375641</v>
      </c>
      <c r="S32" s="396">
        <v>18728</v>
      </c>
      <c r="T32" s="420">
        <f t="shared" si="8"/>
        <v>0.10963669456761936</v>
      </c>
      <c r="U32" s="420">
        <f t="shared" si="9"/>
        <v>0.6428661848957231</v>
      </c>
      <c r="V32" s="422">
        <f t="shared" si="10"/>
        <v>21889.82433661258</v>
      </c>
      <c r="W32" s="420">
        <f t="shared" si="11"/>
        <v>0.11229017327047237</v>
      </c>
      <c r="X32" s="422">
        <f t="shared" si="12"/>
        <v>21936.844339476287</v>
      </c>
      <c r="Y32" s="4"/>
      <c r="Z32" s="576">
        <f>ROUND(X32+Y32+3,)</f>
        <v>21940</v>
      </c>
    </row>
    <row r="33" spans="1:26" ht="18.75">
      <c r="A33" s="50">
        <v>20</v>
      </c>
      <c r="B33" s="65" t="s">
        <v>224</v>
      </c>
      <c r="C33" s="82">
        <v>1.449</v>
      </c>
      <c r="D33" s="82">
        <v>1.411</v>
      </c>
      <c r="E33" s="82">
        <v>1.388</v>
      </c>
      <c r="F33" s="43">
        <v>123991</v>
      </c>
      <c r="G33" s="44">
        <v>134375</v>
      </c>
      <c r="H33" s="44">
        <v>130473</v>
      </c>
      <c r="I33" s="420">
        <f t="shared" si="0"/>
        <v>0.45563407473804873</v>
      </c>
      <c r="J33" s="420">
        <f t="shared" si="0"/>
        <v>0.39569690223516046</v>
      </c>
      <c r="K33" s="420">
        <f t="shared" si="0"/>
        <v>0.34250361002242063</v>
      </c>
      <c r="L33" s="420">
        <f t="shared" si="1"/>
        <v>-0.1131304647156281</v>
      </c>
      <c r="M33" s="420">
        <f t="shared" si="2"/>
        <v>0.2971189084862055</v>
      </c>
      <c r="N33" s="420">
        <f t="shared" si="3"/>
        <v>0.25760528569908026</v>
      </c>
      <c r="O33" s="420">
        <f t="shared" si="4"/>
        <v>0.2848143976162487</v>
      </c>
      <c r="P33" s="420">
        <f t="shared" si="5"/>
        <v>0.22824916525843444</v>
      </c>
      <c r="Q33" s="420">
        <f t="shared" si="6"/>
        <v>0.2971189084862055</v>
      </c>
      <c r="R33" s="420">
        <f t="shared" si="7"/>
        <v>0.25760528569908026</v>
      </c>
      <c r="S33" s="396">
        <v>57283</v>
      </c>
      <c r="T33" s="420">
        <f t="shared" si="8"/>
        <v>0.12176749105340806</v>
      </c>
      <c r="U33" s="420">
        <f t="shared" si="9"/>
        <v>0.4098274716806232</v>
      </c>
      <c r="V33" s="422">
        <f t="shared" si="10"/>
        <v>56925.576625100555</v>
      </c>
      <c r="W33" s="420">
        <f t="shared" si="11"/>
        <v>0.10603469325570296</v>
      </c>
      <c r="X33" s="422">
        <f t="shared" si="12"/>
        <v>57047.85448054472</v>
      </c>
      <c r="Y33" s="4"/>
      <c r="Z33" s="576">
        <f>ROUND(X33+Y33+2,)</f>
        <v>57050</v>
      </c>
    </row>
    <row r="34" spans="1:26" ht="18.75">
      <c r="A34" s="50">
        <v>21</v>
      </c>
      <c r="B34" s="65" t="s">
        <v>225</v>
      </c>
      <c r="C34" s="82">
        <v>0.364</v>
      </c>
      <c r="D34" s="82">
        <v>0.351</v>
      </c>
      <c r="E34" s="82">
        <v>0.345</v>
      </c>
      <c r="F34" s="43">
        <v>15043</v>
      </c>
      <c r="G34" s="44">
        <v>9172</v>
      </c>
      <c r="H34" s="44">
        <v>30677</v>
      </c>
      <c r="I34" s="420">
        <f t="shared" si="0"/>
        <v>0.22005309953651794</v>
      </c>
      <c r="J34" s="420">
        <f t="shared" si="0"/>
        <v>0.10857456959558066</v>
      </c>
      <c r="K34" s="420">
        <f t="shared" si="0"/>
        <v>0.3239871327386637</v>
      </c>
      <c r="L34" s="420">
        <f t="shared" si="1"/>
        <v>0.10393403320214575</v>
      </c>
      <c r="M34" s="420">
        <f t="shared" si="2"/>
        <v>0.29124695616906265</v>
      </c>
      <c r="N34" s="420">
        <f t="shared" si="3"/>
        <v>0.35339592011088655</v>
      </c>
      <c r="O34" s="420">
        <f t="shared" si="4"/>
        <v>0.3214723004923999</v>
      </c>
      <c r="P34" s="420">
        <f t="shared" si="5"/>
        <v>0.3734393170934727</v>
      </c>
      <c r="Q34" s="420">
        <f t="shared" si="6"/>
        <v>0.3214723004923999</v>
      </c>
      <c r="R34" s="420">
        <f t="shared" si="7"/>
        <v>0.3734393170934727</v>
      </c>
      <c r="S34" s="396">
        <v>21152</v>
      </c>
      <c r="T34" s="420">
        <f t="shared" si="8"/>
        <v>0.18089535365183956</v>
      </c>
      <c r="U34" s="420">
        <f t="shared" si="9"/>
        <v>0.5627089904006091</v>
      </c>
      <c r="V34" s="422">
        <f t="shared" si="10"/>
        <v>28273.32289587402</v>
      </c>
      <c r="W34" s="420">
        <f t="shared" si="11"/>
        <v>0.21187892948872258</v>
      </c>
      <c r="X34" s="422">
        <f t="shared" si="12"/>
        <v>28334.054846166877</v>
      </c>
      <c r="Y34" s="4"/>
      <c r="Z34" s="576">
        <f>ROUND(X34+Y34+6,)</f>
        <v>28340</v>
      </c>
    </row>
    <row r="35" spans="1:26" ht="18.75">
      <c r="A35" s="50">
        <v>22</v>
      </c>
      <c r="B35" s="65" t="s">
        <v>226</v>
      </c>
      <c r="C35" s="82">
        <v>0.687</v>
      </c>
      <c r="D35" s="82">
        <v>0.653</v>
      </c>
      <c r="E35" s="82">
        <v>0.642</v>
      </c>
      <c r="F35" s="43">
        <v>47925</v>
      </c>
      <c r="G35" s="44">
        <v>83583</v>
      </c>
      <c r="H35" s="44">
        <v>91356</v>
      </c>
      <c r="I35" s="420">
        <f t="shared" si="0"/>
        <v>0.3714495211238404</v>
      </c>
      <c r="J35" s="420">
        <f t="shared" si="0"/>
        <v>0.5318338314305179</v>
      </c>
      <c r="K35" s="420">
        <f t="shared" si="0"/>
        <v>0.5184847878855382</v>
      </c>
      <c r="L35" s="420">
        <f t="shared" si="1"/>
        <v>0.1470352667616978</v>
      </c>
      <c r="M35" s="420">
        <f t="shared" si="2"/>
        <v>0.6530906660223909</v>
      </c>
      <c r="N35" s="420">
        <f t="shared" si="3"/>
        <v>0.7715988735007836</v>
      </c>
      <c r="O35" s="420">
        <f t="shared" si="4"/>
        <v>0.6209579802416634</v>
      </c>
      <c r="P35" s="420">
        <f t="shared" si="5"/>
        <v>0.6944756136225122</v>
      </c>
      <c r="Q35" s="420">
        <f t="shared" si="6"/>
        <v>0.6209579802416634</v>
      </c>
      <c r="R35" s="420">
        <f t="shared" si="7"/>
        <v>0.6944756136225122</v>
      </c>
      <c r="S35" s="396">
        <v>104482</v>
      </c>
      <c r="T35" s="420">
        <f t="shared" si="8"/>
        <v>0.480177181965719</v>
      </c>
      <c r="U35" s="420">
        <f t="shared" si="9"/>
        <v>0.7732845011168783</v>
      </c>
      <c r="V35" s="422">
        <f t="shared" si="10"/>
        <v>135103.6399074761</v>
      </c>
      <c r="W35" s="420">
        <f t="shared" si="11"/>
        <v>0.5440790877984979</v>
      </c>
      <c r="X35" s="422">
        <f t="shared" si="12"/>
        <v>135393.84660067107</v>
      </c>
      <c r="Y35" s="4"/>
      <c r="Z35" s="576">
        <f>ROUND(X35+Y35+6,)</f>
        <v>135400</v>
      </c>
    </row>
    <row r="36" spans="1:26" ht="18.75">
      <c r="A36" s="50">
        <v>23</v>
      </c>
      <c r="B36" s="65" t="s">
        <v>227</v>
      </c>
      <c r="C36" s="82">
        <v>0.893</v>
      </c>
      <c r="D36" s="82">
        <v>0.873</v>
      </c>
      <c r="E36" s="82">
        <v>0.859</v>
      </c>
      <c r="F36" s="43">
        <v>35880</v>
      </c>
      <c r="G36" s="44">
        <v>38954</v>
      </c>
      <c r="H36" s="44">
        <v>44972</v>
      </c>
      <c r="I36" s="420">
        <f t="shared" si="0"/>
        <v>0.2139416760373734</v>
      </c>
      <c r="J36" s="420">
        <f t="shared" si="0"/>
        <v>0.1853996897516688</v>
      </c>
      <c r="K36" s="420">
        <f t="shared" si="0"/>
        <v>0.19075810930940545</v>
      </c>
      <c r="L36" s="420">
        <f t="shared" si="1"/>
        <v>-0.023183566727967952</v>
      </c>
      <c r="M36" s="420">
        <f t="shared" si="2"/>
        <v>0.17504515081065547</v>
      </c>
      <c r="N36" s="420">
        <f t="shared" si="3"/>
        <v>0.16528897708346058</v>
      </c>
      <c r="O36" s="420">
        <f t="shared" si="4"/>
        <v>0.17351625830484796</v>
      </c>
      <c r="P36" s="420">
        <f t="shared" si="5"/>
        <v>0.16192447494086395</v>
      </c>
      <c r="Q36" s="420">
        <f t="shared" si="6"/>
        <v>0.17504515081065547</v>
      </c>
      <c r="R36" s="420">
        <f t="shared" si="7"/>
        <v>0.16528897708346058</v>
      </c>
      <c r="S36" s="396">
        <v>54781</v>
      </c>
      <c r="T36" s="420">
        <f t="shared" si="8"/>
        <v>0.18816197430222284</v>
      </c>
      <c r="U36" s="420">
        <f t="shared" si="9"/>
        <v>1.0749339437900551</v>
      </c>
      <c r="V36" s="422">
        <f t="shared" si="10"/>
        <v>59200.04958620486</v>
      </c>
      <c r="W36" s="420">
        <f t="shared" si="11"/>
        <v>0.17817998525660814</v>
      </c>
      <c r="X36" s="422">
        <f t="shared" si="12"/>
        <v>59327.21307816671</v>
      </c>
      <c r="Y36" s="4"/>
      <c r="Z36" s="576">
        <f>ROUND(X36+Y36+3,)</f>
        <v>59330</v>
      </c>
    </row>
    <row r="37" spans="1:26" ht="18.75">
      <c r="A37" s="50">
        <v>24</v>
      </c>
      <c r="B37" s="65" t="s">
        <v>228</v>
      </c>
      <c r="C37" s="567">
        <v>0.639</v>
      </c>
      <c r="D37" s="320">
        <v>0.612</v>
      </c>
      <c r="E37" s="320">
        <v>0.602</v>
      </c>
      <c r="F37" s="43">
        <v>16757</v>
      </c>
      <c r="G37" s="44">
        <v>18812</v>
      </c>
      <c r="H37" s="44">
        <v>18848</v>
      </c>
      <c r="I37" s="420">
        <f t="shared" si="0"/>
        <v>0.1396335661632032</v>
      </c>
      <c r="J37" s="420">
        <f t="shared" si="0"/>
        <v>0.1277187721679319</v>
      </c>
      <c r="K37" s="420">
        <f t="shared" si="0"/>
        <v>0.11407822442869937</v>
      </c>
      <c r="L37" s="420">
        <f t="shared" si="1"/>
        <v>-0.025555341734503814</v>
      </c>
      <c r="M37" s="420">
        <f t="shared" si="2"/>
        <v>0.10352105652202799</v>
      </c>
      <c r="N37" s="420">
        <f t="shared" si="3"/>
        <v>0.09356968281343608</v>
      </c>
      <c r="O37" s="420">
        <f t="shared" si="4"/>
        <v>0.10158817918544105</v>
      </c>
      <c r="P37" s="420">
        <f t="shared" si="5"/>
        <v>0.0888105083181891</v>
      </c>
      <c r="Q37" s="420">
        <f t="shared" si="6"/>
        <v>0.10352105652202799</v>
      </c>
      <c r="R37" s="420">
        <f t="shared" si="7"/>
        <v>0.09356968281343608</v>
      </c>
      <c r="S37" s="396">
        <v>19182</v>
      </c>
      <c r="T37" s="420">
        <f t="shared" si="8"/>
        <v>0.09401398565890483</v>
      </c>
      <c r="U37" s="420">
        <f t="shared" si="9"/>
        <v>0.9081629266302921</v>
      </c>
      <c r="V37" s="422">
        <f t="shared" si="10"/>
        <v>19986.71590244536</v>
      </c>
      <c r="W37" s="420">
        <f t="shared" si="11"/>
        <v>0.08583708487169645</v>
      </c>
      <c r="X37" s="422">
        <f t="shared" si="12"/>
        <v>20029.647970995462</v>
      </c>
      <c r="Y37" s="4"/>
      <c r="Z37" s="576">
        <f>ROUND(X37+Y37,)</f>
        <v>20030</v>
      </c>
    </row>
    <row r="38" spans="1:26" ht="18.75">
      <c r="A38" s="50">
        <v>25</v>
      </c>
      <c r="B38" s="65" t="s">
        <v>229</v>
      </c>
      <c r="C38" s="567">
        <v>2.416</v>
      </c>
      <c r="D38" s="320">
        <v>2.433</v>
      </c>
      <c r="E38" s="320">
        <v>2.393</v>
      </c>
      <c r="F38" s="43">
        <v>94041</v>
      </c>
      <c r="G38" s="44">
        <v>106367</v>
      </c>
      <c r="H38" s="44">
        <v>131617</v>
      </c>
      <c r="I38" s="420">
        <f t="shared" si="0"/>
        <v>0.20725963403252237</v>
      </c>
      <c r="J38" s="420">
        <f t="shared" si="0"/>
        <v>0.181650245179837</v>
      </c>
      <c r="K38" s="420">
        <f t="shared" si="0"/>
        <v>0.20040255769756576</v>
      </c>
      <c r="L38" s="420">
        <f t="shared" si="1"/>
        <v>-0.006857076334956608</v>
      </c>
      <c r="M38" s="420">
        <f t="shared" si="2"/>
        <v>0.18964432805391088</v>
      </c>
      <c r="N38" s="420">
        <f t="shared" si="3"/>
        <v>0.18648080047802756</v>
      </c>
      <c r="O38" s="420">
        <f t="shared" si="4"/>
        <v>0.1895804026350184</v>
      </c>
      <c r="P38" s="420">
        <f t="shared" si="5"/>
        <v>0.18615186446754012</v>
      </c>
      <c r="Q38" s="420">
        <f t="shared" si="6"/>
        <v>0.18964432805391088</v>
      </c>
      <c r="R38" s="420">
        <f t="shared" si="7"/>
        <v>0.18648080047802756</v>
      </c>
      <c r="S38" s="396">
        <v>144615</v>
      </c>
      <c r="T38" s="420">
        <f t="shared" si="8"/>
        <v>0.17830589947728887</v>
      </c>
      <c r="U38" s="420">
        <f t="shared" si="9"/>
        <v>0.9402121397830638</v>
      </c>
      <c r="V38" s="422">
        <f t="shared" si="10"/>
        <v>161170.5148806984</v>
      </c>
      <c r="W38" s="420">
        <f t="shared" si="11"/>
        <v>0.17412972202106664</v>
      </c>
      <c r="X38" s="422">
        <f t="shared" si="12"/>
        <v>161516.71400750277</v>
      </c>
      <c r="Y38" s="4"/>
      <c r="Z38" s="576">
        <f>ROUND(X38+Y38-17,)</f>
        <v>161500</v>
      </c>
    </row>
    <row r="39" spans="1:26" ht="18.75">
      <c r="A39" s="50">
        <v>26</v>
      </c>
      <c r="B39" s="65" t="s">
        <v>230</v>
      </c>
      <c r="C39" s="45">
        <v>0.28</v>
      </c>
      <c r="D39" s="46">
        <v>0.275</v>
      </c>
      <c r="E39" s="46">
        <v>0.27</v>
      </c>
      <c r="F39" s="43">
        <v>17659</v>
      </c>
      <c r="G39" s="44">
        <v>15259</v>
      </c>
      <c r="H39" s="44">
        <v>19400</v>
      </c>
      <c r="I39" s="420">
        <f t="shared" si="0"/>
        <v>0.3358168576833066</v>
      </c>
      <c r="J39" s="420">
        <f t="shared" si="0"/>
        <v>0.23054970244146084</v>
      </c>
      <c r="K39" s="420">
        <f t="shared" si="0"/>
        <v>0.26180138328025654</v>
      </c>
      <c r="L39" s="420">
        <f t="shared" si="1"/>
        <v>-0.07401547440305006</v>
      </c>
      <c r="M39" s="420">
        <f t="shared" si="2"/>
        <v>0.212560440887495</v>
      </c>
      <c r="N39" s="420">
        <f t="shared" si="3"/>
        <v>0.18767964093994155</v>
      </c>
      <c r="O39" s="420">
        <f t="shared" si="4"/>
        <v>0.20204050673195795</v>
      </c>
      <c r="P39" s="420">
        <f t="shared" si="5"/>
        <v>0.1650327695304329</v>
      </c>
      <c r="Q39" s="420">
        <f t="shared" si="6"/>
        <v>0.212560440887495</v>
      </c>
      <c r="R39" s="420">
        <f t="shared" si="7"/>
        <v>0.18767964093994155</v>
      </c>
      <c r="S39" s="396">
        <v>28474</v>
      </c>
      <c r="T39" s="420">
        <f t="shared" si="8"/>
        <v>0.3111571506169551</v>
      </c>
      <c r="U39" s="420">
        <f t="shared" si="9"/>
        <v>1.4638525838476493</v>
      </c>
      <c r="V39" s="422">
        <f t="shared" si="10"/>
        <v>28769.714344707092</v>
      </c>
      <c r="W39" s="420">
        <f t="shared" si="11"/>
        <v>0.275487436393179</v>
      </c>
      <c r="X39" s="422">
        <f t="shared" si="12"/>
        <v>28831.512558803017</v>
      </c>
      <c r="Y39" s="4"/>
      <c r="Z39" s="576">
        <f>ROUND(X39+Y39-2,)</f>
        <v>28830</v>
      </c>
    </row>
    <row r="40" spans="1:26" ht="18.75">
      <c r="A40" s="50">
        <v>27</v>
      </c>
      <c r="B40" s="65" t="s">
        <v>231</v>
      </c>
      <c r="C40" s="45">
        <v>0.771</v>
      </c>
      <c r="D40" s="46">
        <v>0.742</v>
      </c>
      <c r="E40" s="46">
        <v>0.73</v>
      </c>
      <c r="F40" s="43">
        <v>90141</v>
      </c>
      <c r="G40" s="44">
        <v>31604</v>
      </c>
      <c r="H40" s="44">
        <v>43372</v>
      </c>
      <c r="I40" s="420">
        <f t="shared" si="0"/>
        <v>0.6225330486756762</v>
      </c>
      <c r="J40" s="420">
        <f t="shared" si="0"/>
        <v>0.17697394608077885</v>
      </c>
      <c r="K40" s="420">
        <f t="shared" si="0"/>
        <v>0.21648138616159068</v>
      </c>
      <c r="L40" s="420">
        <f t="shared" si="1"/>
        <v>-0.4060516625140855</v>
      </c>
      <c r="M40" s="420">
        <f t="shared" si="2"/>
        <v>0.10009727403044894</v>
      </c>
      <c r="N40" s="420">
        <f t="shared" si="3"/>
        <v>0.05902708336685384</v>
      </c>
      <c r="O40" s="420">
        <f t="shared" si="4"/>
        <v>-0.06738886887473683</v>
      </c>
      <c r="P40" s="420">
        <f t="shared" si="5"/>
        <v>-0.2704147001317796</v>
      </c>
      <c r="Q40" s="420">
        <f t="shared" si="6"/>
        <v>0.10009727403044894</v>
      </c>
      <c r="R40" s="420">
        <f t="shared" si="7"/>
        <v>0.05902708336685384</v>
      </c>
      <c r="S40" s="396">
        <v>40645</v>
      </c>
      <c r="T40" s="420">
        <f t="shared" si="8"/>
        <v>0.16427797358239132</v>
      </c>
      <c r="U40" s="420">
        <f t="shared" si="9"/>
        <v>1.6411832906900046</v>
      </c>
      <c r="V40" s="422">
        <f t="shared" si="10"/>
        <v>27580.667867483575</v>
      </c>
      <c r="W40" s="420">
        <f t="shared" si="11"/>
        <v>0.097681412346755</v>
      </c>
      <c r="X40" s="422">
        <f t="shared" si="12"/>
        <v>27639.911973885246</v>
      </c>
      <c r="Y40" s="4"/>
      <c r="Z40" s="576">
        <f>ROUND(X40+Y40,)</f>
        <v>27640</v>
      </c>
    </row>
    <row r="41" spans="1:26" ht="18.75">
      <c r="A41" s="50">
        <v>28</v>
      </c>
      <c r="B41" s="66" t="s">
        <v>232</v>
      </c>
      <c r="C41" s="47">
        <v>0.577</v>
      </c>
      <c r="D41" s="46">
        <v>0.552</v>
      </c>
      <c r="E41" s="46">
        <v>0.543</v>
      </c>
      <c r="F41" s="43">
        <v>82574</v>
      </c>
      <c r="G41" s="44">
        <v>120105</v>
      </c>
      <c r="H41" s="44">
        <v>245808</v>
      </c>
      <c r="I41" s="420">
        <f t="shared" si="0"/>
        <v>0.762012206184069</v>
      </c>
      <c r="J41" s="420">
        <f t="shared" si="0"/>
        <v>0.9040515532323291</v>
      </c>
      <c r="K41" s="420">
        <f t="shared" si="0"/>
        <v>1.6494158164611823</v>
      </c>
      <c r="L41" s="420">
        <f t="shared" si="1"/>
        <v>0.8874036102771133</v>
      </c>
      <c r="M41" s="420">
        <f t="shared" si="2"/>
        <v>2.258724797693816</v>
      </c>
      <c r="N41" s="420">
        <f t="shared" si="3"/>
        <v>3.3231307810869777</v>
      </c>
      <c r="O41" s="420">
        <f t="shared" si="4"/>
        <v>1.9925634689029734</v>
      </c>
      <c r="P41" s="420">
        <f t="shared" si="5"/>
        <v>2.43626527404153</v>
      </c>
      <c r="Q41" s="420">
        <f t="shared" si="6"/>
        <v>1.9925634689029734</v>
      </c>
      <c r="R41" s="420">
        <f t="shared" si="7"/>
        <v>2.43626527404153</v>
      </c>
      <c r="S41" s="396">
        <v>170419</v>
      </c>
      <c r="T41" s="420">
        <f t="shared" si="8"/>
        <v>0.9260048307303664</v>
      </c>
      <c r="U41" s="420">
        <f t="shared" si="9"/>
        <v>0.4647304064247389</v>
      </c>
      <c r="V41" s="422">
        <f t="shared" si="10"/>
        <v>240286.3111375297</v>
      </c>
      <c r="W41" s="420">
        <f t="shared" si="11"/>
        <v>1.1440874261779912</v>
      </c>
      <c r="X41" s="422">
        <f t="shared" si="12"/>
        <v>240802.4533807957</v>
      </c>
      <c r="Y41" s="4"/>
      <c r="Z41" s="576">
        <f>ROUND(X41+Y41-2,)</f>
        <v>240800</v>
      </c>
    </row>
    <row r="42" spans="1:26" ht="18.75">
      <c r="A42" s="50">
        <v>29</v>
      </c>
      <c r="B42" s="65" t="s">
        <v>233</v>
      </c>
      <c r="C42" s="45">
        <v>0.293</v>
      </c>
      <c r="D42" s="46">
        <v>0.336</v>
      </c>
      <c r="E42" s="46">
        <v>0.33</v>
      </c>
      <c r="F42" s="43">
        <v>10576</v>
      </c>
      <c r="G42" s="44">
        <v>14415</v>
      </c>
      <c r="H42" s="44">
        <v>15314</v>
      </c>
      <c r="I42" s="420">
        <f t="shared" si="0"/>
        <v>0.19219772383425757</v>
      </c>
      <c r="J42" s="420">
        <f t="shared" si="0"/>
        <v>0.17825698479093446</v>
      </c>
      <c r="K42" s="420">
        <f t="shared" si="0"/>
        <v>0.16908639855662902</v>
      </c>
      <c r="L42" s="420">
        <f t="shared" si="1"/>
        <v>-0.023111325277628547</v>
      </c>
      <c r="M42" s="420">
        <f t="shared" si="2"/>
        <v>0.15800163850354496</v>
      </c>
      <c r="N42" s="420">
        <f t="shared" si="3"/>
        <v>0.14819781742663116</v>
      </c>
      <c r="O42" s="420">
        <f t="shared" si="4"/>
        <v>0.15673571044964518</v>
      </c>
      <c r="P42" s="420">
        <f t="shared" si="5"/>
        <v>0.14518004781083085</v>
      </c>
      <c r="Q42" s="420">
        <f t="shared" si="6"/>
        <v>0.15800163850354496</v>
      </c>
      <c r="R42" s="420">
        <f t="shared" si="7"/>
        <v>0.14819781742663116</v>
      </c>
      <c r="S42" s="396">
        <v>18455</v>
      </c>
      <c r="T42" s="420">
        <f t="shared" si="8"/>
        <v>0.1650042684290075</v>
      </c>
      <c r="U42" s="420">
        <f t="shared" si="9"/>
        <v>1.0443199829557808</v>
      </c>
      <c r="V42" s="422">
        <f t="shared" si="10"/>
        <v>18839.141009373303</v>
      </c>
      <c r="W42" s="420">
        <f t="shared" si="11"/>
        <v>0.14759687719157513</v>
      </c>
      <c r="X42" s="422">
        <f t="shared" si="12"/>
        <v>18879.60805244267</v>
      </c>
      <c r="Y42" s="4"/>
      <c r="Z42" s="576">
        <f>ROUND(X42+Y42,)</f>
        <v>18880</v>
      </c>
    </row>
    <row r="43" spans="1:26" ht="18.75">
      <c r="A43" s="50">
        <v>30</v>
      </c>
      <c r="B43" s="65" t="s">
        <v>234</v>
      </c>
      <c r="C43" s="45">
        <v>4.039</v>
      </c>
      <c r="D43" s="46">
        <v>3.972</v>
      </c>
      <c r="E43" s="46">
        <v>3.905</v>
      </c>
      <c r="F43" s="43">
        <v>392803</v>
      </c>
      <c r="G43" s="44">
        <v>517209</v>
      </c>
      <c r="H43" s="44">
        <v>506695</v>
      </c>
      <c r="I43" s="420">
        <f t="shared" si="0"/>
        <v>0.5178397223368837</v>
      </c>
      <c r="J43" s="420">
        <f t="shared" si="0"/>
        <v>0.5410383132936936</v>
      </c>
      <c r="K43" s="420">
        <f t="shared" si="0"/>
        <v>0.47278049570760705</v>
      </c>
      <c r="L43" s="420">
        <f t="shared" si="1"/>
        <v>-0.04505922662927664</v>
      </c>
      <c r="M43" s="420">
        <f t="shared" si="2"/>
        <v>0.46539870263360844</v>
      </c>
      <c r="N43" s="420">
        <f t="shared" si="3"/>
        <v>0.44468989783948</v>
      </c>
      <c r="O43" s="420">
        <f t="shared" si="4"/>
        <v>0.4654936171501183</v>
      </c>
      <c r="P43" s="420">
        <f t="shared" si="5"/>
        <v>0.4429640038354798</v>
      </c>
      <c r="Q43" s="420">
        <f t="shared" si="6"/>
        <v>0.46539870263360844</v>
      </c>
      <c r="R43" s="420">
        <f t="shared" si="7"/>
        <v>0.44468989783948</v>
      </c>
      <c r="S43" s="396">
        <v>772123</v>
      </c>
      <c r="T43" s="420">
        <f t="shared" si="8"/>
        <v>0.5833920686506298</v>
      </c>
      <c r="U43" s="420">
        <f t="shared" si="9"/>
        <v>1.25353178973065</v>
      </c>
      <c r="V43" s="422">
        <f t="shared" si="10"/>
        <v>843121.5773587665</v>
      </c>
      <c r="W43" s="420">
        <f t="shared" si="11"/>
        <v>0.5582120121160015</v>
      </c>
      <c r="X43" s="422">
        <f t="shared" si="12"/>
        <v>844932.627935155</v>
      </c>
      <c r="Y43" s="4"/>
      <c r="Z43" s="576">
        <f>ROUND(X43+Y43-13,)</f>
        <v>844920</v>
      </c>
    </row>
    <row r="44" spans="1:26" ht="47.25">
      <c r="A44" s="327"/>
      <c r="B44" s="397" t="s">
        <v>51</v>
      </c>
      <c r="C44" s="577">
        <f aca="true" t="shared" si="13" ref="C44:H44">SUM(C14:C43)</f>
        <v>30.683000000000007</v>
      </c>
      <c r="D44" s="577">
        <f t="shared" si="13"/>
        <v>30.097999999999995</v>
      </c>
      <c r="E44" s="577">
        <f t="shared" si="13"/>
        <v>29.595000000000002</v>
      </c>
      <c r="F44" s="423">
        <f t="shared" si="13"/>
        <v>1926114</v>
      </c>
      <c r="G44" s="423">
        <f t="shared" si="13"/>
        <v>2419371</v>
      </c>
      <c r="H44" s="423">
        <f t="shared" si="13"/>
        <v>2712012</v>
      </c>
      <c r="I44" s="2" t="s">
        <v>8</v>
      </c>
      <c r="J44" s="2" t="s">
        <v>8</v>
      </c>
      <c r="K44" s="2" t="s">
        <v>8</v>
      </c>
      <c r="L44" s="2" t="s">
        <v>8</v>
      </c>
      <c r="M44" s="2" t="s">
        <v>8</v>
      </c>
      <c r="N44" s="2" t="s">
        <v>8</v>
      </c>
      <c r="O44" s="2" t="s">
        <v>8</v>
      </c>
      <c r="P44" s="2" t="s">
        <v>8</v>
      </c>
      <c r="Q44" s="2" t="s">
        <v>8</v>
      </c>
      <c r="R44" s="2" t="s">
        <v>8</v>
      </c>
      <c r="S44" s="424">
        <f>SUM(S14:S43)</f>
        <v>3346766</v>
      </c>
      <c r="T44" s="2" t="s">
        <v>8</v>
      </c>
      <c r="U44" s="2" t="s">
        <v>8</v>
      </c>
      <c r="V44" s="423">
        <f>SUM(V14:V43)</f>
        <v>3800894.364247688</v>
      </c>
      <c r="W44" s="2" t="s">
        <v>8</v>
      </c>
      <c r="X44" s="423">
        <f>SUM(X14:X43)</f>
        <v>3809058.7999756034</v>
      </c>
      <c r="Y44" s="423">
        <f>SUM(Y14:Y43)</f>
        <v>56000</v>
      </c>
      <c r="Z44" s="578">
        <f>SUM(Z14:Z43)</f>
        <v>3865000</v>
      </c>
    </row>
    <row r="45" spans="1:26" ht="31.5">
      <c r="A45" s="327"/>
      <c r="B45" s="398" t="s">
        <v>52</v>
      </c>
      <c r="C45" s="579">
        <f aca="true" t="shared" si="14" ref="C45:E46">C44</f>
        <v>30.683000000000007</v>
      </c>
      <c r="D45" s="579">
        <f t="shared" si="14"/>
        <v>30.097999999999995</v>
      </c>
      <c r="E45" s="579">
        <f t="shared" si="14"/>
        <v>29.595000000000002</v>
      </c>
      <c r="F45" s="399">
        <v>3836286</v>
      </c>
      <c r="G45" s="399">
        <v>4824429</v>
      </c>
      <c r="H45" s="400">
        <v>5410388</v>
      </c>
      <c r="I45" s="425">
        <f aca="true" t="shared" si="15" ref="I45:K46">(F45/C45)/(F$46/C$46)</f>
        <v>0.6657444814660558</v>
      </c>
      <c r="J45" s="425">
        <f t="shared" si="15"/>
        <v>0.6660080344570529</v>
      </c>
      <c r="K45" s="425">
        <f t="shared" si="15"/>
        <v>0.6661070619521323</v>
      </c>
      <c r="L45" s="425">
        <f>K45-I45</f>
        <v>0.0003625804860765136</v>
      </c>
      <c r="M45" s="425">
        <f>EXP(LN(J45)+2*LN(K45)-2/3*(LN(I45)+LN(J45)+LN(K45)))</f>
        <v>0.6663158691896337</v>
      </c>
      <c r="N45" s="425">
        <f>EXP(LN(K45)-(2*(LN(I45)-LN(J45))+(LN(J45)-LN(K45)))/3-((LN(I45)-LN(J45))+(LN(J45)-LN(K45)))/2)</f>
        <v>0.6664972903302142</v>
      </c>
      <c r="O45" s="425">
        <f>J45+2*K45-2/3*(I45+J45+K45)</f>
        <v>0.6663157731111569</v>
      </c>
      <c r="P45" s="425">
        <f>K45-(2*(I45-J45)+(J45-K45))/3-((I45-J45)+(J45-K45))/2</f>
        <v>0.6664970633541951</v>
      </c>
      <c r="Q45" s="425">
        <f>IF(L45&lt;0,M45,O45)</f>
        <v>0.6663157731111569</v>
      </c>
      <c r="R45" s="425">
        <f>IF(L45&lt;0,N45,P45)</f>
        <v>0.6664970633541951</v>
      </c>
      <c r="S45" s="401">
        <v>6683750</v>
      </c>
      <c r="T45" s="425">
        <f>(S45/E45)/(S$46/E$46)</f>
        <v>0.6663415919978594</v>
      </c>
      <c r="U45" s="425">
        <f>T45/Q45</f>
        <v>1.0000387487250706</v>
      </c>
      <c r="V45" s="426">
        <f>R45*U45*(C45+D45+E45)*Q$49/(C$46+D$46+E$46)</f>
        <v>7646017.324211057</v>
      </c>
      <c r="W45" s="425">
        <f>(V45/E45)/(V$46/E$46)</f>
        <v>0.6679546005338795</v>
      </c>
      <c r="X45" s="426">
        <f>W45*E45/E$46*Q$49</f>
        <v>7662441.200024398</v>
      </c>
      <c r="Y45" s="3">
        <v>112000</v>
      </c>
      <c r="Z45" s="580">
        <f>ROUND(X45+Y45+59,)</f>
        <v>7774500</v>
      </c>
    </row>
    <row r="46" spans="1:26" s="404" customFormat="1" ht="18.75">
      <c r="A46" s="402"/>
      <c r="B46" s="403" t="s">
        <v>1</v>
      </c>
      <c r="C46" s="581">
        <f t="shared" si="14"/>
        <v>30.683000000000007</v>
      </c>
      <c r="D46" s="581">
        <f t="shared" si="14"/>
        <v>30.097999999999995</v>
      </c>
      <c r="E46" s="581">
        <f t="shared" si="14"/>
        <v>29.595000000000002</v>
      </c>
      <c r="F46" s="427">
        <f>F44+F45</f>
        <v>5762400</v>
      </c>
      <c r="G46" s="427">
        <f>G44+G45</f>
        <v>7243800</v>
      </c>
      <c r="H46" s="427">
        <f>H44+H45</f>
        <v>8122400</v>
      </c>
      <c r="I46" s="428">
        <f t="shared" si="15"/>
        <v>1</v>
      </c>
      <c r="J46" s="428">
        <f t="shared" si="15"/>
        <v>1</v>
      </c>
      <c r="K46" s="428">
        <f t="shared" si="15"/>
        <v>1</v>
      </c>
      <c r="L46" s="428">
        <f>K46-I46</f>
        <v>0</v>
      </c>
      <c r="M46" s="428">
        <f>EXP(LN(J46)+2*LN(K46)-2/3*(LN(I46)+LN(J46)+LN(K46)))</f>
        <v>1</v>
      </c>
      <c r="N46" s="428">
        <f>EXP(LN(K46)-(2*(LN(I46)-LN(J46))+(LN(J46)-LN(K46)))/3-((LN(I46)-LN(J46))+(LN(J46)-LN(K46)))/2)</f>
        <v>1</v>
      </c>
      <c r="O46" s="428">
        <f>J46+2*K46-2/3*(I46+J46+K46)</f>
        <v>1</v>
      </c>
      <c r="P46" s="428">
        <f>K46-(2*(I46-J46)+(J46-K46))/3-((I46-J46)+(J46-K46))/2</f>
        <v>1</v>
      </c>
      <c r="Q46" s="428">
        <f>IF(L46&lt;0,M46,O46)</f>
        <v>1</v>
      </c>
      <c r="R46" s="428">
        <f>IF(L46&lt;0,N46,P46)</f>
        <v>1</v>
      </c>
      <c r="S46" s="427">
        <f>S44+S45</f>
        <v>10030516</v>
      </c>
      <c r="T46" s="427">
        <f>(S46/E46)/(S$46/E$46)</f>
        <v>1</v>
      </c>
      <c r="U46" s="427">
        <f>T46/Q46</f>
        <v>1</v>
      </c>
      <c r="V46" s="427">
        <f>V44+V45</f>
        <v>11446911.688458744</v>
      </c>
      <c r="W46" s="427">
        <f>(V46/E46)/(V$46/E$46)</f>
        <v>1</v>
      </c>
      <c r="X46" s="427">
        <f>X44+X45</f>
        <v>11471500.000000002</v>
      </c>
      <c r="Y46" s="427">
        <f>Y44+Y45</f>
        <v>168000</v>
      </c>
      <c r="Z46" s="582">
        <f>Z44+Z45</f>
        <v>11639500</v>
      </c>
    </row>
    <row r="47" spans="1:26" ht="18">
      <c r="A47" s="583"/>
      <c r="B47" s="403" t="s">
        <v>53</v>
      </c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4"/>
      <c r="Y47" s="583"/>
      <c r="Z47" s="585"/>
    </row>
    <row r="48" spans="1:26" s="410" customFormat="1" ht="34.5" customHeight="1">
      <c r="A48" s="405"/>
      <c r="B48" s="406" t="s">
        <v>54</v>
      </c>
      <c r="C48" s="407">
        <v>30.7</v>
      </c>
      <c r="D48" s="407">
        <v>30.1</v>
      </c>
      <c r="E48" s="407">
        <v>29.6</v>
      </c>
      <c r="F48" s="408">
        <v>5762400</v>
      </c>
      <c r="G48" s="408">
        <v>7243800</v>
      </c>
      <c r="H48" s="408">
        <v>8122400</v>
      </c>
      <c r="I48" s="408"/>
      <c r="J48" s="408"/>
      <c r="K48" s="408"/>
      <c r="L48" s="409"/>
      <c r="M48" s="409"/>
      <c r="N48" s="409"/>
      <c r="O48" s="409"/>
      <c r="P48" s="409"/>
      <c r="Q48" s="409"/>
      <c r="R48" s="409"/>
      <c r="S48" s="409">
        <v>10030516</v>
      </c>
      <c r="T48" s="409"/>
      <c r="U48" s="409"/>
      <c r="V48" s="409"/>
      <c r="W48" s="408"/>
      <c r="X48" s="408"/>
      <c r="Y48" s="408">
        <v>168000</v>
      </c>
      <c r="Z48" s="586">
        <v>11639500</v>
      </c>
    </row>
    <row r="49" spans="1:26" s="413" customFormat="1" ht="15.75">
      <c r="A49" s="411"/>
      <c r="B49" s="411"/>
      <c r="C49" s="429">
        <f aca="true" t="shared" si="16" ref="C49:H49">C48-C46</f>
        <v>0.016999999999992355</v>
      </c>
      <c r="D49" s="429">
        <f t="shared" si="16"/>
        <v>0.002000000000005997</v>
      </c>
      <c r="E49" s="429">
        <f t="shared" si="16"/>
        <v>0.004999999999999005</v>
      </c>
      <c r="F49" s="430">
        <f t="shared" si="16"/>
        <v>0</v>
      </c>
      <c r="G49" s="430">
        <f t="shared" si="16"/>
        <v>0</v>
      </c>
      <c r="H49" s="430">
        <f t="shared" si="16"/>
        <v>0</v>
      </c>
      <c r="L49" s="414"/>
      <c r="M49" s="414"/>
      <c r="N49" s="415"/>
      <c r="O49" s="415"/>
      <c r="P49" s="415"/>
      <c r="Q49" s="416">
        <v>11471500</v>
      </c>
      <c r="R49" s="416">
        <v>11639500</v>
      </c>
      <c r="S49" s="412"/>
      <c r="T49" s="417"/>
      <c r="U49" s="417"/>
      <c r="V49" s="417"/>
      <c r="W49" s="412"/>
      <c r="X49" s="412"/>
      <c r="Y49" s="430">
        <f>Y48-Y46</f>
        <v>0</v>
      </c>
      <c r="Z49" s="430">
        <f>Z48-Z46</f>
        <v>0</v>
      </c>
    </row>
    <row r="50" spans="1:26" s="418" customFormat="1" ht="4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26" t="s">
        <v>188</v>
      </c>
      <c r="R50" s="326" t="s">
        <v>189</v>
      </c>
      <c r="S50" s="37"/>
      <c r="T50" s="37"/>
      <c r="U50" s="37"/>
      <c r="V50" s="37"/>
      <c r="W50" s="37"/>
      <c r="X50" s="37"/>
      <c r="Y50" s="37"/>
      <c r="Z50" s="37"/>
    </row>
    <row r="54" spans="17:18" ht="12.75">
      <c r="Q54" s="587"/>
      <c r="R54" s="587"/>
    </row>
  </sheetData>
  <sheetProtection formatCells="0" formatColumns="0" formatRows="0" deleteRows="0" autoFilter="0"/>
  <mergeCells count="30">
    <mergeCell ref="C6:J6"/>
    <mergeCell ref="J10:J11"/>
    <mergeCell ref="X10:X11"/>
    <mergeCell ref="I9:K9"/>
    <mergeCell ref="N10:N11"/>
    <mergeCell ref="R10:R11"/>
    <mergeCell ref="S10:S11"/>
    <mergeCell ref="Q10:Q11"/>
    <mergeCell ref="W10:W11"/>
    <mergeCell ref="F9:H9"/>
    <mergeCell ref="U9:U11"/>
    <mergeCell ref="K10:K11"/>
    <mergeCell ref="V10:V11"/>
    <mergeCell ref="L9:L11"/>
    <mergeCell ref="A9:A11"/>
    <mergeCell ref="B9:B11"/>
    <mergeCell ref="C9:E9"/>
    <mergeCell ref="C10:C11"/>
    <mergeCell ref="D10:D11"/>
    <mergeCell ref="E10:E11"/>
    <mergeCell ref="Z10:Z11"/>
    <mergeCell ref="F10:F11"/>
    <mergeCell ref="G10:G11"/>
    <mergeCell ref="H10:H11"/>
    <mergeCell ref="I10:I11"/>
    <mergeCell ref="M10:M11"/>
    <mergeCell ref="P10:P11"/>
    <mergeCell ref="O10:O11"/>
    <mergeCell ref="Y10:Y11"/>
    <mergeCell ref="T10:T11"/>
  </mergeCells>
  <printOptions horizontalCentered="1" verticalCentered="1"/>
  <pageMargins left="0.62" right="0.07874015748031496" top="0.1968503937007874" bottom="0.1968503937007874" header="0.1968503937007874" footer="0.1968503937007874"/>
  <pageSetup fitToWidth="3" fitToHeight="1" horizontalDpi="600" verticalDpi="600" orientation="portrait" paperSize="9" scale="67" r:id="rId1"/>
  <headerFooter alignWithMargins="0">
    <oddHeader>&amp;R2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R75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3.75390625" style="37" customWidth="1"/>
    <col min="2" max="2" width="17.25390625" style="37" customWidth="1"/>
    <col min="3" max="3" width="6.375" style="348" customWidth="1"/>
    <col min="4" max="4" width="12.375" style="37" hidden="1" customWidth="1"/>
    <col min="5" max="5" width="9.00390625" style="37" hidden="1" customWidth="1"/>
    <col min="6" max="6" width="13.75390625" style="37" customWidth="1"/>
    <col min="7" max="7" width="14.875" style="37" customWidth="1"/>
    <col min="8" max="8" width="15.25390625" style="37" customWidth="1"/>
    <col min="9" max="9" width="14.125" style="37" customWidth="1"/>
    <col min="10" max="10" width="12.00390625" style="37" customWidth="1"/>
    <col min="11" max="11" width="10.25390625" style="37" customWidth="1"/>
    <col min="12" max="12" width="13.875" style="37" customWidth="1"/>
    <col min="13" max="14" width="9.375" style="37" customWidth="1"/>
    <col min="15" max="15" width="15.00390625" style="37" customWidth="1"/>
    <col min="16" max="16" width="14.875" style="37" customWidth="1"/>
    <col min="17" max="17" width="11.75390625" style="37" customWidth="1"/>
    <col min="18" max="18" width="13.00390625" style="37" customWidth="1"/>
    <col min="19" max="19" width="10.625" style="37" customWidth="1"/>
    <col min="20" max="20" width="13.00390625" style="37" customWidth="1"/>
    <col min="21" max="21" width="15.875" style="37" customWidth="1"/>
    <col min="22" max="22" width="16.00390625" style="37" customWidth="1"/>
    <col min="23" max="23" width="12.25390625" style="37" customWidth="1"/>
    <col min="24" max="24" width="10.25390625" style="37" customWidth="1"/>
    <col min="25" max="25" width="9.125" style="37" customWidth="1"/>
    <col min="26" max="26" width="9.375" style="37" customWidth="1"/>
    <col min="27" max="27" width="8.375" style="37" customWidth="1"/>
    <col min="28" max="28" width="9.625" style="37" customWidth="1"/>
    <col min="29" max="29" width="15.25390625" style="37" customWidth="1"/>
    <col min="30" max="30" width="13.00390625" style="37" customWidth="1"/>
    <col min="31" max="31" width="14.875" style="37" customWidth="1"/>
    <col min="32" max="32" width="20.625" style="37" hidden="1" customWidth="1"/>
    <col min="33" max="33" width="20.875" style="37" hidden="1" customWidth="1"/>
    <col min="34" max="34" width="20.375" style="37" hidden="1" customWidth="1"/>
    <col min="35" max="35" width="19.625" style="37" hidden="1" customWidth="1"/>
    <col min="36" max="36" width="23.25390625" style="37" hidden="1" customWidth="1"/>
    <col min="37" max="37" width="20.875" style="37" hidden="1" customWidth="1"/>
    <col min="38" max="38" width="33.00390625" style="37" hidden="1" customWidth="1"/>
    <col min="39" max="39" width="26.75390625" style="37" hidden="1" customWidth="1"/>
    <col min="40" max="40" width="25.25390625" style="37" hidden="1" customWidth="1"/>
    <col min="41" max="41" width="28.75390625" style="37" hidden="1" customWidth="1"/>
    <col min="42" max="42" width="15.125" style="37" hidden="1" customWidth="1"/>
    <col min="43" max="43" width="19.625" style="37" hidden="1" customWidth="1"/>
    <col min="44" max="56" width="16.125" style="37" customWidth="1"/>
    <col min="57" max="57" width="16.125" style="37" hidden="1" customWidth="1"/>
    <col min="58" max="59" width="16.125" style="37" customWidth="1"/>
    <col min="60" max="61" width="16.125" style="37" hidden="1" customWidth="1"/>
    <col min="62" max="63" width="16.125" style="37" customWidth="1"/>
    <col min="64" max="64" width="9.125" style="37" customWidth="1"/>
    <col min="65" max="65" width="19.375" style="37" customWidth="1"/>
    <col min="66" max="66" width="20.75390625" style="37" customWidth="1"/>
    <col min="67" max="67" width="9.125" style="37" customWidth="1"/>
    <col min="68" max="68" width="11.625" style="37" bestFit="1" customWidth="1"/>
    <col min="69" max="69" width="13.375" style="37" customWidth="1"/>
    <col min="70" max="70" width="12.875" style="37" customWidth="1"/>
    <col min="71" max="16384" width="9.125" style="37" customWidth="1"/>
  </cols>
  <sheetData>
    <row r="1" spans="1:68" s="109" customFormat="1" ht="36" customHeight="1" thickBot="1">
      <c r="A1" s="602" t="s">
        <v>244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 t="s">
        <v>182</v>
      </c>
      <c r="X1" s="542"/>
      <c r="Y1" s="542"/>
      <c r="Z1" s="542"/>
      <c r="AA1" s="542"/>
      <c r="AB1" s="542"/>
      <c r="AC1" s="542"/>
      <c r="AD1" s="542"/>
      <c r="AE1" s="542" t="s">
        <v>182</v>
      </c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 t="s">
        <v>182</v>
      </c>
      <c r="BG1" s="560"/>
      <c r="BH1" s="560"/>
      <c r="BI1" s="560"/>
      <c r="BJ1" s="560"/>
      <c r="BK1" s="560"/>
      <c r="BL1" s="111"/>
      <c r="BP1" s="112"/>
    </row>
    <row r="2" spans="2:63" s="113" customFormat="1" ht="27" customHeight="1">
      <c r="B2" s="114" t="s">
        <v>55</v>
      </c>
      <c r="C2" s="22"/>
      <c r="D2" s="98"/>
      <c r="E2" s="99"/>
      <c r="F2" s="623" t="s">
        <v>56</v>
      </c>
      <c r="G2" s="624"/>
      <c r="H2" s="624"/>
      <c r="I2" s="624"/>
      <c r="J2" s="624"/>
      <c r="K2" s="624"/>
      <c r="L2" s="625"/>
      <c r="M2" s="603" t="s">
        <v>57</v>
      </c>
      <c r="N2" s="604"/>
      <c r="O2" s="604"/>
      <c r="P2" s="604"/>
      <c r="Q2" s="604"/>
      <c r="R2" s="604"/>
      <c r="S2" s="604"/>
      <c r="T2" s="604"/>
      <c r="U2" s="604"/>
      <c r="V2" s="604"/>
      <c r="W2" s="605"/>
      <c r="X2" s="620" t="s">
        <v>181</v>
      </c>
      <c r="Y2" s="621"/>
      <c r="Z2" s="621"/>
      <c r="AA2" s="621"/>
      <c r="AB2" s="621"/>
      <c r="AC2" s="621"/>
      <c r="AD2" s="621"/>
      <c r="AE2" s="622"/>
      <c r="AF2" s="68"/>
      <c r="AG2" s="69"/>
      <c r="AH2" s="69"/>
      <c r="AI2" s="69"/>
      <c r="AJ2" s="69"/>
      <c r="AK2" s="115"/>
      <c r="AL2" s="69"/>
      <c r="AM2" s="69"/>
      <c r="AN2" s="69"/>
      <c r="AO2" s="69"/>
      <c r="AP2" s="75"/>
      <c r="AQ2" s="76"/>
      <c r="AR2" s="627" t="s">
        <v>58</v>
      </c>
      <c r="AS2" s="628"/>
      <c r="AT2" s="628"/>
      <c r="AU2" s="628"/>
      <c r="AV2" s="628"/>
      <c r="AW2" s="628"/>
      <c r="AX2" s="628"/>
      <c r="AY2" s="628"/>
      <c r="AZ2" s="628"/>
      <c r="BA2" s="628"/>
      <c r="BB2" s="628"/>
      <c r="BC2" s="628"/>
      <c r="BD2" s="628"/>
      <c r="BE2" s="628"/>
      <c r="BF2" s="629"/>
      <c r="BG2" s="23"/>
      <c r="BH2" s="86"/>
      <c r="BI2" s="86"/>
      <c r="BJ2" s="116"/>
      <c r="BK2" s="116"/>
    </row>
    <row r="3" spans="2:63" s="113" customFormat="1" ht="141" customHeight="1" thickBot="1">
      <c r="B3" s="543"/>
      <c r="C3" s="117" t="s">
        <v>59</v>
      </c>
      <c r="D3" s="118"/>
      <c r="E3" s="267"/>
      <c r="F3" s="131" t="s">
        <v>236</v>
      </c>
      <c r="G3" s="119" t="s">
        <v>60</v>
      </c>
      <c r="H3" s="119" t="s">
        <v>61</v>
      </c>
      <c r="I3" s="119" t="s">
        <v>62</v>
      </c>
      <c r="J3" s="24" t="s">
        <v>63</v>
      </c>
      <c r="K3" s="24" t="s">
        <v>238</v>
      </c>
      <c r="L3" s="120" t="s">
        <v>235</v>
      </c>
      <c r="M3" s="121" t="s">
        <v>64</v>
      </c>
      <c r="N3" s="24" t="s">
        <v>65</v>
      </c>
      <c r="O3" s="122" t="s">
        <v>202</v>
      </c>
      <c r="P3" s="24" t="s">
        <v>66</v>
      </c>
      <c r="Q3" s="24" t="s">
        <v>67</v>
      </c>
      <c r="R3" s="122" t="s">
        <v>180</v>
      </c>
      <c r="S3" s="24" t="s">
        <v>68</v>
      </c>
      <c r="T3" s="24" t="s">
        <v>69</v>
      </c>
      <c r="U3" s="24" t="s">
        <v>161</v>
      </c>
      <c r="V3" s="24" t="s">
        <v>162</v>
      </c>
      <c r="W3" s="123"/>
      <c r="X3" s="121" t="s">
        <v>70</v>
      </c>
      <c r="Y3" s="24" t="s">
        <v>71</v>
      </c>
      <c r="Z3" s="24" t="s">
        <v>72</v>
      </c>
      <c r="AA3" s="24" t="s">
        <v>73</v>
      </c>
      <c r="AB3" s="24" t="s">
        <v>74</v>
      </c>
      <c r="AC3" s="24" t="s">
        <v>75</v>
      </c>
      <c r="AD3" s="317" t="s">
        <v>181</v>
      </c>
      <c r="AE3" s="124" t="s">
        <v>76</v>
      </c>
      <c r="AF3" s="125"/>
      <c r="AG3" s="126"/>
      <c r="AH3" s="126"/>
      <c r="AI3" s="126"/>
      <c r="AJ3" s="126"/>
      <c r="AK3" s="127"/>
      <c r="AL3" s="127"/>
      <c r="AM3" s="127"/>
      <c r="AN3" s="128"/>
      <c r="AO3" s="127"/>
      <c r="AP3" s="129"/>
      <c r="AQ3" s="130"/>
      <c r="AR3" s="131" t="s">
        <v>183</v>
      </c>
      <c r="AS3" s="132" t="s">
        <v>77</v>
      </c>
      <c r="AT3" s="132" t="s">
        <v>78</v>
      </c>
      <c r="AU3" s="132" t="s">
        <v>79</v>
      </c>
      <c r="AV3" s="132" t="s">
        <v>80</v>
      </c>
      <c r="AW3" s="132" t="s">
        <v>81</v>
      </c>
      <c r="AX3" s="132" t="s">
        <v>82</v>
      </c>
      <c r="AY3" s="132" t="s">
        <v>83</v>
      </c>
      <c r="AZ3" s="132" t="s">
        <v>84</v>
      </c>
      <c r="BA3" s="132" t="s">
        <v>85</v>
      </c>
      <c r="BB3" s="132" t="s">
        <v>86</v>
      </c>
      <c r="BC3" s="119" t="s">
        <v>87</v>
      </c>
      <c r="BD3" s="24" t="s">
        <v>88</v>
      </c>
      <c r="BE3" s="127"/>
      <c r="BF3" s="120" t="s">
        <v>88</v>
      </c>
      <c r="BG3" s="25" t="s">
        <v>89</v>
      </c>
      <c r="BH3" s="309" t="s">
        <v>160</v>
      </c>
      <c r="BI3" s="309"/>
      <c r="BJ3" s="25" t="s">
        <v>194</v>
      </c>
      <c r="BK3" s="25" t="s">
        <v>90</v>
      </c>
    </row>
    <row r="4" spans="2:69" s="113" customFormat="1" ht="48.75" customHeight="1">
      <c r="B4" s="133" t="s">
        <v>91</v>
      </c>
      <c r="C4" s="134"/>
      <c r="D4" s="135"/>
      <c r="E4" s="268"/>
      <c r="F4" s="544">
        <f>$F45</f>
        <v>29595</v>
      </c>
      <c r="G4" s="545">
        <f aca="true" t="shared" si="0" ref="G4:H6">G45</f>
        <v>70</v>
      </c>
      <c r="H4" s="546">
        <f t="shared" si="0"/>
        <v>98</v>
      </c>
      <c r="I4" s="547">
        <f>$I45</f>
        <v>0</v>
      </c>
      <c r="J4" s="547">
        <f>ROUND(H8*F4*K8*I8+I4,-1)</f>
        <v>2849350</v>
      </c>
      <c r="K4" s="545">
        <f aca="true" t="shared" si="1" ref="K4:M5">K45</f>
        <v>6479950</v>
      </c>
      <c r="L4" s="548">
        <f t="shared" si="1"/>
        <v>4871164</v>
      </c>
      <c r="M4" s="310">
        <f t="shared" si="1"/>
        <v>1568</v>
      </c>
      <c r="N4" s="96">
        <f>N50</f>
        <v>0</v>
      </c>
      <c r="O4" s="96">
        <f>O50</f>
        <v>0</v>
      </c>
      <c r="P4" s="96">
        <f aca="true" t="shared" si="2" ref="P4:U4">P5+P6</f>
        <v>1568</v>
      </c>
      <c r="Q4" s="96">
        <f t="shared" si="2"/>
        <v>21</v>
      </c>
      <c r="R4" s="96">
        <f t="shared" si="2"/>
        <v>3</v>
      </c>
      <c r="S4" s="96">
        <f t="shared" si="2"/>
        <v>386</v>
      </c>
      <c r="T4" s="311">
        <f t="shared" si="2"/>
        <v>3544284</v>
      </c>
      <c r="U4" s="311">
        <f t="shared" si="2"/>
        <v>58741.74509451331</v>
      </c>
      <c r="V4" s="58">
        <v>3485544</v>
      </c>
      <c r="W4" s="312"/>
      <c r="X4" s="314">
        <f aca="true" t="shared" si="3" ref="X4:Y6">X45</f>
        <v>0</v>
      </c>
      <c r="Y4" s="96">
        <f t="shared" si="3"/>
        <v>14</v>
      </c>
      <c r="Z4" s="97"/>
      <c r="AA4" s="96">
        <f aca="true" t="shared" si="4" ref="AA4:AB6">AA45</f>
        <v>0</v>
      </c>
      <c r="AB4" s="96">
        <f t="shared" si="4"/>
        <v>0</v>
      </c>
      <c r="AC4" s="97"/>
      <c r="AD4" s="315">
        <f>AD6+AD5</f>
        <v>199116.83573808914</v>
      </c>
      <c r="AE4" s="316">
        <f>T4+AD4</f>
        <v>3743400.835738089</v>
      </c>
      <c r="AF4" s="273"/>
      <c r="AG4" s="83"/>
      <c r="AH4" s="83"/>
      <c r="AI4" s="83"/>
      <c r="AJ4" s="83"/>
      <c r="AK4" s="274"/>
      <c r="AL4" s="275"/>
      <c r="AM4" s="275"/>
      <c r="AN4" s="275"/>
      <c r="AO4" s="275"/>
      <c r="AP4" s="136"/>
      <c r="AQ4" s="276"/>
      <c r="AR4" s="550">
        <f>AR50</f>
        <v>29595</v>
      </c>
      <c r="AS4" s="547">
        <f>AS50</f>
        <v>5597</v>
      </c>
      <c r="AT4" s="547">
        <f>AT50</f>
        <v>5597</v>
      </c>
      <c r="AU4" s="547">
        <f>AU50</f>
        <v>2393</v>
      </c>
      <c r="AV4" s="547">
        <f>AV5+AV6</f>
        <v>29595</v>
      </c>
      <c r="AW4" s="547">
        <f>AW5+AW6</f>
        <v>1615204</v>
      </c>
      <c r="AX4" s="547">
        <f aca="true" t="shared" si="5" ref="AX4:BA6">AX45</f>
        <v>0</v>
      </c>
      <c r="AY4" s="547">
        <f t="shared" si="5"/>
        <v>0</v>
      </c>
      <c r="AZ4" s="547">
        <f t="shared" si="5"/>
        <v>29595</v>
      </c>
      <c r="BA4" s="547">
        <f t="shared" si="5"/>
        <v>0</v>
      </c>
      <c r="BB4" s="547">
        <f>BB5+BB6</f>
        <v>3135396</v>
      </c>
      <c r="BC4" s="547">
        <f>BC45</f>
        <v>0</v>
      </c>
      <c r="BD4" s="547">
        <f>BB4+AW4</f>
        <v>4750600</v>
      </c>
      <c r="BE4" s="551"/>
      <c r="BF4" s="552">
        <f>BD4+BE4</f>
        <v>4750600</v>
      </c>
      <c r="BG4" s="553">
        <f>AN4+AE4+J4+BF4</f>
        <v>11343350.835738089</v>
      </c>
      <c r="BH4" s="554"/>
      <c r="BI4" s="554"/>
      <c r="BJ4" s="553">
        <f aca="true" t="shared" si="6" ref="BJ4:BK6">BJ45</f>
        <v>0</v>
      </c>
      <c r="BK4" s="431">
        <f t="shared" si="6"/>
        <v>7827063</v>
      </c>
      <c r="BM4" s="447" t="s">
        <v>92</v>
      </c>
      <c r="BN4" s="448"/>
      <c r="BO4" s="448"/>
      <c r="BP4" s="449"/>
      <c r="BQ4" s="450">
        <f>BK4</f>
        <v>7827063</v>
      </c>
    </row>
    <row r="5" spans="2:69" s="113" customFormat="1" ht="35.25" customHeight="1">
      <c r="B5" s="344" t="s">
        <v>193</v>
      </c>
      <c r="C5" s="134"/>
      <c r="D5" s="135"/>
      <c r="E5" s="268"/>
      <c r="F5" s="544">
        <f>F46</f>
        <v>3905</v>
      </c>
      <c r="G5" s="545">
        <f t="shared" si="0"/>
        <v>2</v>
      </c>
      <c r="H5" s="546">
        <f t="shared" si="0"/>
        <v>5.5</v>
      </c>
      <c r="I5" s="547">
        <f>I46</f>
        <v>0</v>
      </c>
      <c r="J5" s="547">
        <f>Hy*$F$5*K8+$I$5</f>
        <v>212410.19937093442</v>
      </c>
      <c r="K5" s="545">
        <f>K46</f>
        <v>291068</v>
      </c>
      <c r="L5" s="548">
        <f t="shared" si="1"/>
        <v>217700</v>
      </c>
      <c r="M5" s="310">
        <f>M46</f>
        <v>251</v>
      </c>
      <c r="N5" s="96">
        <f>N46</f>
        <v>0</v>
      </c>
      <c r="O5" s="96">
        <f>O46+O49</f>
        <v>128</v>
      </c>
      <c r="P5" s="96">
        <f>P46+P49</f>
        <v>379</v>
      </c>
      <c r="Q5" s="96">
        <f>Q46+Q49</f>
        <v>7</v>
      </c>
      <c r="R5" s="96">
        <f>R46+R49</f>
        <v>3</v>
      </c>
      <c r="S5" s="96">
        <f>S46+S49</f>
        <v>128</v>
      </c>
      <c r="T5" s="311">
        <f>SUMIF(C15:C44,1,T15:T44)+T49</f>
        <v>1225921.12519218</v>
      </c>
      <c r="U5" s="311">
        <f>U46+V46+U49+V49</f>
        <v>11366.12519218005</v>
      </c>
      <c r="V5" s="313">
        <f>SUMIF(C15:C44,1,W15:W44)+W49</f>
        <v>1214555</v>
      </c>
      <c r="W5" s="312"/>
      <c r="X5" s="314">
        <f>X46</f>
        <v>0</v>
      </c>
      <c r="Y5" s="96">
        <f t="shared" si="3"/>
        <v>0</v>
      </c>
      <c r="Z5" s="97"/>
      <c r="AA5" s="96">
        <f t="shared" si="4"/>
        <v>0</v>
      </c>
      <c r="AB5" s="96">
        <f t="shared" si="4"/>
        <v>0</v>
      </c>
      <c r="AC5" s="97"/>
      <c r="AD5" s="315">
        <f>(AA5*$AC$5+X5*$Z$5)*$AD$13*1000</f>
        <v>0</v>
      </c>
      <c r="AE5" s="316">
        <f>T5+AD5</f>
        <v>1225921.12519218</v>
      </c>
      <c r="AF5" s="273"/>
      <c r="AG5" s="83"/>
      <c r="AH5" s="83"/>
      <c r="AI5" s="83"/>
      <c r="AJ5" s="83"/>
      <c r="AK5" s="274"/>
      <c r="AL5" s="275"/>
      <c r="AM5" s="275"/>
      <c r="AN5" s="275"/>
      <c r="AO5" s="275"/>
      <c r="AP5" s="136"/>
      <c r="AQ5" s="276"/>
      <c r="AR5" s="550">
        <f aca="true" t="shared" si="7" ref="AR5:BC5">AR46+AR49</f>
        <v>3905</v>
      </c>
      <c r="AS5" s="547">
        <f t="shared" si="7"/>
        <v>0</v>
      </c>
      <c r="AT5" s="547">
        <f t="shared" si="7"/>
        <v>0</v>
      </c>
      <c r="AU5" s="547">
        <f t="shared" si="7"/>
        <v>0</v>
      </c>
      <c r="AV5" s="547">
        <f t="shared" si="7"/>
        <v>6298</v>
      </c>
      <c r="AW5" s="547">
        <f t="shared" si="7"/>
        <v>343725</v>
      </c>
      <c r="AX5" s="547">
        <f t="shared" si="7"/>
        <v>0</v>
      </c>
      <c r="AY5" s="547">
        <f t="shared" si="7"/>
        <v>0</v>
      </c>
      <c r="AZ5" s="547">
        <f t="shared" si="7"/>
        <v>3905</v>
      </c>
      <c r="BA5" s="547">
        <f t="shared" si="7"/>
        <v>29595</v>
      </c>
      <c r="BB5" s="547">
        <f t="shared" si="7"/>
        <v>3135396</v>
      </c>
      <c r="BC5" s="547">
        <f t="shared" si="7"/>
        <v>0</v>
      </c>
      <c r="BD5" s="547">
        <f>BD46+BD49</f>
        <v>3479121</v>
      </c>
      <c r="BE5" s="551"/>
      <c r="BF5" s="552">
        <f>BD5+BE5</f>
        <v>3479121</v>
      </c>
      <c r="BG5" s="553">
        <f>AN5+AE5+J5+BF5</f>
        <v>4917452.324563114</v>
      </c>
      <c r="BH5" s="554"/>
      <c r="BI5" s="554"/>
      <c r="BJ5" s="553">
        <f t="shared" si="6"/>
        <v>0</v>
      </c>
      <c r="BK5" s="431">
        <f t="shared" si="6"/>
        <v>1401162</v>
      </c>
      <c r="BM5" s="451" t="s">
        <v>93</v>
      </c>
      <c r="BN5" s="139"/>
      <c r="BO5" s="139"/>
      <c r="BP5" s="140"/>
      <c r="BQ5" s="452">
        <v>60440100</v>
      </c>
    </row>
    <row r="6" spans="2:69" s="113" customFormat="1" ht="42.75" customHeight="1">
      <c r="B6" s="344" t="s">
        <v>94</v>
      </c>
      <c r="C6" s="134"/>
      <c r="D6" s="135"/>
      <c r="E6" s="268"/>
      <c r="F6" s="544">
        <f>F4-F5</f>
        <v>25690</v>
      </c>
      <c r="G6" s="545">
        <f t="shared" si="0"/>
        <v>68</v>
      </c>
      <c r="H6" s="546">
        <f t="shared" si="0"/>
        <v>92.5</v>
      </c>
      <c r="I6" s="545">
        <f>I4-I5</f>
        <v>0</v>
      </c>
      <c r="J6" s="547">
        <f>J4-J5</f>
        <v>2636939.8006290654</v>
      </c>
      <c r="K6" s="549">
        <f>K4-K5</f>
        <v>6188882</v>
      </c>
      <c r="L6" s="548">
        <f>L4-L5</f>
        <v>4653464</v>
      </c>
      <c r="M6" s="310">
        <f>M47</f>
        <v>1317</v>
      </c>
      <c r="N6" s="96">
        <f>N47</f>
        <v>0</v>
      </c>
      <c r="O6" s="96">
        <f>O47</f>
        <v>-128</v>
      </c>
      <c r="P6" s="96">
        <f>P47</f>
        <v>1189</v>
      </c>
      <c r="Q6" s="96">
        <f>Q47</f>
        <v>14</v>
      </c>
      <c r="R6" s="96">
        <f>R47</f>
        <v>0</v>
      </c>
      <c r="S6" s="96">
        <f>S47</f>
        <v>258</v>
      </c>
      <c r="T6" s="311">
        <f>T8-T5</f>
        <v>2318362.8748078197</v>
      </c>
      <c r="U6" s="311">
        <f>U47+V47</f>
        <v>47375.61990233326</v>
      </c>
      <c r="V6" s="313">
        <f>V4-V5</f>
        <v>2270989</v>
      </c>
      <c r="W6" s="312"/>
      <c r="X6" s="310">
        <f t="shared" si="3"/>
        <v>0</v>
      </c>
      <c r="Y6" s="96">
        <f t="shared" si="3"/>
        <v>14</v>
      </c>
      <c r="Z6" s="97"/>
      <c r="AA6" s="96">
        <f t="shared" si="4"/>
        <v>0</v>
      </c>
      <c r="AB6" s="96">
        <f t="shared" si="4"/>
        <v>0</v>
      </c>
      <c r="AC6" s="97"/>
      <c r="AD6" s="315">
        <f>(SUMPRODUCT(Y$15:Y44,Z$15:Z44)+SUMPRODUCT(AB$15:AB44,AC$15:AC44))*Ho*1000</f>
        <v>199116.83573808914</v>
      </c>
      <c r="AE6" s="316">
        <f>T6+AD6</f>
        <v>2517479.7105459087</v>
      </c>
      <c r="AF6" s="273"/>
      <c r="AG6" s="83"/>
      <c r="AH6" s="83"/>
      <c r="AI6" s="83"/>
      <c r="AJ6" s="83"/>
      <c r="AK6" s="274"/>
      <c r="AL6" s="275"/>
      <c r="AM6" s="275"/>
      <c r="AN6" s="275"/>
      <c r="AO6" s="275"/>
      <c r="AP6" s="136"/>
      <c r="AQ6" s="276"/>
      <c r="AR6" s="550">
        <f aca="true" t="shared" si="8" ref="AR6:AW6">AR47</f>
        <v>25690</v>
      </c>
      <c r="AS6" s="547">
        <f t="shared" si="8"/>
        <v>5597</v>
      </c>
      <c r="AT6" s="547">
        <f t="shared" si="8"/>
        <v>5597</v>
      </c>
      <c r="AU6" s="547">
        <f t="shared" si="8"/>
        <v>2393</v>
      </c>
      <c r="AV6" s="547">
        <f t="shared" si="8"/>
        <v>23297</v>
      </c>
      <c r="AW6" s="547">
        <f t="shared" si="8"/>
        <v>1271479</v>
      </c>
      <c r="AX6" s="547">
        <f t="shared" si="5"/>
        <v>0</v>
      </c>
      <c r="AY6" s="547">
        <f t="shared" si="5"/>
        <v>0</v>
      </c>
      <c r="AZ6" s="547">
        <f t="shared" si="5"/>
        <v>25690</v>
      </c>
      <c r="BA6" s="547">
        <f t="shared" si="5"/>
        <v>0</v>
      </c>
      <c r="BB6" s="547">
        <f>BB47</f>
        <v>0</v>
      </c>
      <c r="BC6" s="547">
        <f>BC47</f>
        <v>0</v>
      </c>
      <c r="BD6" s="547">
        <f>BD4-BD5</f>
        <v>1271479</v>
      </c>
      <c r="BE6" s="551"/>
      <c r="BF6" s="552">
        <f>BD6+BE6</f>
        <v>1271479</v>
      </c>
      <c r="BG6" s="553">
        <f>AN6+AE6+J6+BF6</f>
        <v>6425898.511174974</v>
      </c>
      <c r="BH6" s="554"/>
      <c r="BI6" s="554"/>
      <c r="BJ6" s="553">
        <f t="shared" si="6"/>
        <v>0</v>
      </c>
      <c r="BK6" s="431">
        <f t="shared" si="6"/>
        <v>6425901</v>
      </c>
      <c r="BM6" s="453" t="s">
        <v>95</v>
      </c>
      <c r="BN6" s="137"/>
      <c r="BO6" s="137"/>
      <c r="BP6" s="138"/>
      <c r="BQ6" s="454">
        <f>BQ5-BQ4</f>
        <v>52613037</v>
      </c>
    </row>
    <row r="7" spans="2:69" s="113" customFormat="1" ht="48.75" customHeight="1">
      <c r="B7" s="630" t="s">
        <v>96</v>
      </c>
      <c r="C7" s="141"/>
      <c r="D7" s="142"/>
      <c r="E7" s="269"/>
      <c r="F7" s="270" t="s">
        <v>97</v>
      </c>
      <c r="G7" s="101" t="s">
        <v>184</v>
      </c>
      <c r="H7" s="60" t="s">
        <v>98</v>
      </c>
      <c r="I7" s="26" t="s">
        <v>185</v>
      </c>
      <c r="J7" s="87" t="s">
        <v>173</v>
      </c>
      <c r="K7" s="55" t="s">
        <v>186</v>
      </c>
      <c r="L7" s="27" t="s">
        <v>174</v>
      </c>
      <c r="M7" s="28"/>
      <c r="N7" s="29"/>
      <c r="O7" s="100" t="s">
        <v>177</v>
      </c>
      <c r="P7" s="17" t="s">
        <v>118</v>
      </c>
      <c r="Q7" s="100" t="s">
        <v>178</v>
      </c>
      <c r="R7" s="101"/>
      <c r="S7" s="101"/>
      <c r="T7" s="17" t="s">
        <v>99</v>
      </c>
      <c r="U7" s="17"/>
      <c r="V7" s="102"/>
      <c r="W7" s="103"/>
      <c r="X7" s="30"/>
      <c r="Y7" s="17"/>
      <c r="Z7" s="17"/>
      <c r="AA7" s="17"/>
      <c r="AB7" s="17"/>
      <c r="AC7" s="60" t="s">
        <v>172</v>
      </c>
      <c r="AD7" s="60"/>
      <c r="AE7" s="104" t="s">
        <v>100</v>
      </c>
      <c r="AF7" s="143"/>
      <c r="AG7" s="77"/>
      <c r="AH7" s="144"/>
      <c r="AI7" s="77"/>
      <c r="AJ7" s="77"/>
      <c r="AK7" s="145"/>
      <c r="AL7" s="145"/>
      <c r="AM7" s="145"/>
      <c r="AN7" s="77"/>
      <c r="AO7" s="77"/>
      <c r="AP7" s="78"/>
      <c r="AQ7" s="79"/>
      <c r="AR7" s="146"/>
      <c r="AS7" s="17" t="s">
        <v>101</v>
      </c>
      <c r="AT7" s="17" t="s">
        <v>102</v>
      </c>
      <c r="AU7" s="17" t="s">
        <v>103</v>
      </c>
      <c r="AV7" s="17"/>
      <c r="AW7" s="17"/>
      <c r="AX7" s="147"/>
      <c r="AY7" s="17" t="s">
        <v>104</v>
      </c>
      <c r="AZ7" s="17" t="s">
        <v>105</v>
      </c>
      <c r="BA7" s="17"/>
      <c r="BB7" s="17"/>
      <c r="BC7" s="277"/>
      <c r="BD7" s="147" t="s">
        <v>175</v>
      </c>
      <c r="BE7" s="126" t="s">
        <v>8</v>
      </c>
      <c r="BF7" s="31" t="s">
        <v>8</v>
      </c>
      <c r="BG7" s="148"/>
      <c r="BH7" s="354"/>
      <c r="BI7" s="354"/>
      <c r="BJ7" s="148"/>
      <c r="BK7" s="148"/>
      <c r="BM7" s="451" t="s">
        <v>196</v>
      </c>
      <c r="BN7" s="352"/>
      <c r="BO7" s="352"/>
      <c r="BP7" s="353"/>
      <c r="BQ7" s="455">
        <f>BQ8/BQ5</f>
        <v>0.004975173767085097</v>
      </c>
    </row>
    <row r="8" spans="2:69" s="113" customFormat="1" ht="27.75" customHeight="1" thickBot="1">
      <c r="B8" s="631"/>
      <c r="C8" s="149"/>
      <c r="D8" s="150"/>
      <c r="E8" s="269"/>
      <c r="F8" s="559">
        <v>19.198391</v>
      </c>
      <c r="G8" s="524">
        <v>0.76</v>
      </c>
      <c r="H8" s="432">
        <f>F8*G8</f>
        <v>14.59077716</v>
      </c>
      <c r="I8" s="88">
        <v>1.77</v>
      </c>
      <c r="J8" s="88">
        <v>3749400</v>
      </c>
      <c r="K8" s="272">
        <v>3.728</v>
      </c>
      <c r="L8" s="89"/>
      <c r="M8" s="90"/>
      <c r="N8" s="91"/>
      <c r="O8" s="568">
        <v>0.2172</v>
      </c>
      <c r="P8" s="570">
        <v>8.801875302869323</v>
      </c>
      <c r="Q8" s="568">
        <v>0.4382</v>
      </c>
      <c r="R8" s="32"/>
      <c r="S8" s="32"/>
      <c r="T8" s="88">
        <v>3544284</v>
      </c>
      <c r="U8" s="92"/>
      <c r="V8" s="152"/>
      <c r="W8" s="153"/>
      <c r="X8" s="35"/>
      <c r="Y8" s="32"/>
      <c r="Z8" s="32"/>
      <c r="AA8" s="32"/>
      <c r="AB8" s="32"/>
      <c r="AC8" s="570">
        <v>8.122576313049244</v>
      </c>
      <c r="AD8" s="88">
        <v>27774616</v>
      </c>
      <c r="AE8" s="88">
        <v>31318900</v>
      </c>
      <c r="AF8" s="70"/>
      <c r="AG8" s="154"/>
      <c r="AH8" s="154"/>
      <c r="AI8" s="71"/>
      <c r="AJ8" s="155"/>
      <c r="AK8" s="156"/>
      <c r="AL8" s="156"/>
      <c r="AM8" s="157"/>
      <c r="AN8" s="157"/>
      <c r="AO8" s="278"/>
      <c r="AP8" s="278"/>
      <c r="AQ8" s="80"/>
      <c r="AR8" s="33"/>
      <c r="AS8" s="524">
        <v>160.5203581689</v>
      </c>
      <c r="AT8" s="524">
        <v>0.34</v>
      </c>
      <c r="AU8" s="562">
        <f>AS8*AT8</f>
        <v>54.57692177742601</v>
      </c>
      <c r="AV8" s="92"/>
      <c r="AW8" s="92"/>
      <c r="AX8" s="34"/>
      <c r="AY8" s="524">
        <v>0.16</v>
      </c>
      <c r="AZ8" s="351">
        <f>AS8*AY8</f>
        <v>25.683257307024</v>
      </c>
      <c r="BA8" s="92"/>
      <c r="BB8" s="92"/>
      <c r="BC8" s="151"/>
      <c r="BD8" s="574">
        <v>4750600</v>
      </c>
      <c r="BE8" s="93"/>
      <c r="BF8" s="433">
        <f>BD8</f>
        <v>4750600</v>
      </c>
      <c r="BG8" s="94"/>
      <c r="BH8" s="355"/>
      <c r="BI8" s="355"/>
      <c r="BJ8" s="95"/>
      <c r="BK8" s="94">
        <v>60440100</v>
      </c>
      <c r="BM8" s="456" t="s">
        <v>195</v>
      </c>
      <c r="BN8" s="457"/>
      <c r="BO8" s="457"/>
      <c r="BP8" s="458"/>
      <c r="BQ8" s="459">
        <f>BJ50</f>
        <v>300700</v>
      </c>
    </row>
    <row r="9" spans="2:38" s="113" customFormat="1" ht="15" customHeight="1">
      <c r="B9" s="158"/>
      <c r="C9" s="158"/>
      <c r="D9" s="158"/>
      <c r="E9" s="158"/>
      <c r="F9" s="18"/>
      <c r="G9" s="18"/>
      <c r="H9" s="18"/>
      <c r="I9" s="18"/>
      <c r="J9" s="18"/>
      <c r="K9" s="19"/>
      <c r="L9" s="18"/>
      <c r="M9" s="18"/>
      <c r="N9" s="18"/>
      <c r="O9" s="437"/>
      <c r="P9" s="564"/>
      <c r="Q9" s="159"/>
      <c r="R9" s="159"/>
      <c r="S9" s="279"/>
      <c r="T9" s="279"/>
      <c r="U9" s="279"/>
      <c r="V9" s="159"/>
      <c r="W9" s="159"/>
      <c r="X9" s="159"/>
      <c r="Y9" s="159"/>
      <c r="Z9" s="159"/>
      <c r="AA9" s="159"/>
      <c r="AC9" s="563"/>
      <c r="AD9" s="319"/>
      <c r="AI9" s="159"/>
      <c r="AL9" s="36"/>
    </row>
    <row r="10" spans="2:64" s="113" customFormat="1" ht="32.25" customHeight="1" thickBot="1">
      <c r="B10" s="626" t="s">
        <v>204</v>
      </c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626"/>
      <c r="BG10" s="626"/>
      <c r="BH10" s="626"/>
      <c r="BI10" s="626"/>
      <c r="BJ10" s="626"/>
      <c r="BK10" s="626"/>
      <c r="BL10" s="36"/>
    </row>
    <row r="11" spans="1:66" ht="46.5" customHeight="1" thickBot="1">
      <c r="A11" s="648"/>
      <c r="B11" s="672" t="s">
        <v>106</v>
      </c>
      <c r="C11" s="690" t="s">
        <v>59</v>
      </c>
      <c r="D11" s="687" t="s">
        <v>107</v>
      </c>
      <c r="E11" s="684"/>
      <c r="F11" s="623" t="s">
        <v>56</v>
      </c>
      <c r="G11" s="624"/>
      <c r="H11" s="624"/>
      <c r="I11" s="624"/>
      <c r="J11" s="624"/>
      <c r="K11" s="624"/>
      <c r="L11" s="625"/>
      <c r="M11" s="639" t="s">
        <v>108</v>
      </c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1"/>
      <c r="AF11" s="68"/>
      <c r="AG11" s="69"/>
      <c r="AH11" s="69"/>
      <c r="AI11" s="69"/>
      <c r="AJ11" s="69"/>
      <c r="AK11" s="72"/>
      <c r="AL11" s="69"/>
      <c r="AM11" s="69"/>
      <c r="AN11" s="69"/>
      <c r="AO11" s="69"/>
      <c r="AP11" s="75"/>
      <c r="AQ11" s="76"/>
      <c r="AR11" s="627" t="s">
        <v>58</v>
      </c>
      <c r="AS11" s="628"/>
      <c r="AT11" s="628"/>
      <c r="AU11" s="628"/>
      <c r="AV11" s="628"/>
      <c r="AW11" s="628"/>
      <c r="AX11" s="628"/>
      <c r="AY11" s="628"/>
      <c r="AZ11" s="628"/>
      <c r="BA11" s="628"/>
      <c r="BB11" s="628"/>
      <c r="BC11" s="628"/>
      <c r="BD11" s="628"/>
      <c r="BE11" s="628"/>
      <c r="BF11" s="629"/>
      <c r="BG11" s="653" t="s">
        <v>89</v>
      </c>
      <c r="BH11" s="713" t="s">
        <v>160</v>
      </c>
      <c r="BI11" s="651" t="s">
        <v>89</v>
      </c>
      <c r="BJ11" s="667" t="s">
        <v>194</v>
      </c>
      <c r="BK11" s="708" t="s">
        <v>109</v>
      </c>
      <c r="BM11" s="704" t="s">
        <v>171</v>
      </c>
      <c r="BN11" s="705"/>
    </row>
    <row r="12" spans="1:70" ht="19.5" customHeight="1">
      <c r="A12" s="649"/>
      <c r="B12" s="673"/>
      <c r="C12" s="691"/>
      <c r="D12" s="688"/>
      <c r="E12" s="685"/>
      <c r="F12" s="105" t="s">
        <v>110</v>
      </c>
      <c r="G12" s="101" t="s">
        <v>111</v>
      </c>
      <c r="H12" s="60" t="s">
        <v>112</v>
      </c>
      <c r="I12" s="101" t="s">
        <v>113</v>
      </c>
      <c r="J12" s="17" t="s">
        <v>114</v>
      </c>
      <c r="K12" s="589" t="s">
        <v>239</v>
      </c>
      <c r="L12" s="664" t="s">
        <v>235</v>
      </c>
      <c r="M12" s="669" t="s">
        <v>115</v>
      </c>
      <c r="N12" s="589" t="s">
        <v>65</v>
      </c>
      <c r="O12" s="678" t="s">
        <v>179</v>
      </c>
      <c r="P12" s="106" t="s">
        <v>192</v>
      </c>
      <c r="Q12" s="106" t="s">
        <v>116</v>
      </c>
      <c r="R12" s="681" t="s">
        <v>180</v>
      </c>
      <c r="S12" s="106" t="s">
        <v>117</v>
      </c>
      <c r="T12" s="443" t="s">
        <v>118</v>
      </c>
      <c r="U12" s="642" t="s">
        <v>165</v>
      </c>
      <c r="V12" s="642" t="s">
        <v>166</v>
      </c>
      <c r="W12" s="617" t="s">
        <v>162</v>
      </c>
      <c r="X12" s="669" t="s">
        <v>119</v>
      </c>
      <c r="Y12" s="589" t="s">
        <v>120</v>
      </c>
      <c r="Z12" s="655" t="s">
        <v>121</v>
      </c>
      <c r="AA12" s="589" t="s">
        <v>122</v>
      </c>
      <c r="AB12" s="589" t="s">
        <v>74</v>
      </c>
      <c r="AC12" s="655" t="s">
        <v>123</v>
      </c>
      <c r="AD12" s="443" t="s">
        <v>124</v>
      </c>
      <c r="AE12" s="675" t="s">
        <v>125</v>
      </c>
      <c r="AF12" s="693"/>
      <c r="AG12" s="661"/>
      <c r="AH12" s="661"/>
      <c r="AI12" s="661"/>
      <c r="AJ12" s="73"/>
      <c r="AK12" s="73"/>
      <c r="AL12" s="74"/>
      <c r="AM12" s="74"/>
      <c r="AN12" s="661"/>
      <c r="AO12" s="658"/>
      <c r="AP12" s="658"/>
      <c r="AQ12" s="699"/>
      <c r="AR12" s="696" t="s">
        <v>126</v>
      </c>
      <c r="AS12" s="632" t="s">
        <v>77</v>
      </c>
      <c r="AT12" s="632" t="s">
        <v>78</v>
      </c>
      <c r="AU12" s="160" t="s">
        <v>203</v>
      </c>
      <c r="AV12" s="67" t="s">
        <v>127</v>
      </c>
      <c r="AW12" s="632" t="s">
        <v>81</v>
      </c>
      <c r="AX12" s="632" t="s">
        <v>82</v>
      </c>
      <c r="AY12" s="632" t="s">
        <v>83</v>
      </c>
      <c r="AZ12" s="160" t="s">
        <v>128</v>
      </c>
      <c r="BA12" s="67" t="s">
        <v>129</v>
      </c>
      <c r="BB12" s="632" t="s">
        <v>86</v>
      </c>
      <c r="BC12" s="710" t="s">
        <v>130</v>
      </c>
      <c r="BD12" s="706" t="s">
        <v>131</v>
      </c>
      <c r="BE12" s="658"/>
      <c r="BF12" s="706" t="s">
        <v>131</v>
      </c>
      <c r="BG12" s="654"/>
      <c r="BH12" s="714"/>
      <c r="BI12" s="652"/>
      <c r="BJ12" s="668"/>
      <c r="BK12" s="709"/>
      <c r="BM12" s="460" t="s">
        <v>167</v>
      </c>
      <c r="BN12" s="461" t="s">
        <v>168</v>
      </c>
      <c r="BQ12" s="566"/>
      <c r="BR12" s="565"/>
    </row>
    <row r="13" spans="1:66" ht="21.75" customHeight="1" thickBot="1">
      <c r="A13" s="649"/>
      <c r="B13" s="673"/>
      <c r="C13" s="691"/>
      <c r="D13" s="688"/>
      <c r="E13" s="685"/>
      <c r="F13" s="59">
        <v>0.5</v>
      </c>
      <c r="G13" s="58">
        <v>0</v>
      </c>
      <c r="H13" s="434">
        <f>1-F13-G13</f>
        <v>0.5</v>
      </c>
      <c r="I13" s="58">
        <v>0.76</v>
      </c>
      <c r="J13" s="435">
        <f>F8*I13</f>
        <v>14.59077716</v>
      </c>
      <c r="K13" s="590"/>
      <c r="L13" s="665"/>
      <c r="M13" s="670"/>
      <c r="N13" s="590"/>
      <c r="O13" s="679"/>
      <c r="P13" s="58">
        <v>0.5</v>
      </c>
      <c r="Q13" s="58">
        <v>0.5</v>
      </c>
      <c r="R13" s="682"/>
      <c r="S13" s="343">
        <f>1-kod-kog</f>
        <v>0</v>
      </c>
      <c r="T13" s="569">
        <f>P8</f>
        <v>8.801875302869323</v>
      </c>
      <c r="U13" s="643"/>
      <c r="V13" s="643"/>
      <c r="W13" s="618"/>
      <c r="X13" s="670"/>
      <c r="Y13" s="590"/>
      <c r="Z13" s="656"/>
      <c r="AA13" s="590"/>
      <c r="AB13" s="590"/>
      <c r="AC13" s="656"/>
      <c r="AD13" s="571">
        <f>AC8</f>
        <v>8.122576313049244</v>
      </c>
      <c r="AE13" s="676"/>
      <c r="AF13" s="694"/>
      <c r="AG13" s="662"/>
      <c r="AH13" s="662"/>
      <c r="AI13" s="662"/>
      <c r="AJ13" s="73"/>
      <c r="AK13" s="73"/>
      <c r="AL13" s="280"/>
      <c r="AM13" s="281"/>
      <c r="AN13" s="662"/>
      <c r="AO13" s="659"/>
      <c r="AP13" s="659"/>
      <c r="AQ13" s="700"/>
      <c r="AR13" s="697"/>
      <c r="AS13" s="633"/>
      <c r="AT13" s="633"/>
      <c r="AU13" s="161">
        <v>0.34</v>
      </c>
      <c r="AV13" s="436">
        <f>AS8*$AU$13</f>
        <v>54.57692177742601</v>
      </c>
      <c r="AW13" s="633"/>
      <c r="AX13" s="633"/>
      <c r="AY13" s="633"/>
      <c r="AZ13" s="161">
        <v>0.66</v>
      </c>
      <c r="BA13" s="436">
        <f>AZ13*AS8</f>
        <v>105.94343639147401</v>
      </c>
      <c r="BB13" s="633"/>
      <c r="BC13" s="711"/>
      <c r="BD13" s="707"/>
      <c r="BE13" s="659"/>
      <c r="BF13" s="707"/>
      <c r="BG13" s="654"/>
      <c r="BH13" s="714"/>
      <c r="BI13" s="652"/>
      <c r="BJ13" s="668"/>
      <c r="BK13" s="709"/>
      <c r="BL13" s="38"/>
      <c r="BM13" s="462">
        <v>0.029989776232665043</v>
      </c>
      <c r="BN13" s="463">
        <v>0.10322539757168944</v>
      </c>
    </row>
    <row r="14" spans="1:70" s="165" customFormat="1" ht="169.5" customHeight="1">
      <c r="A14" s="650"/>
      <c r="B14" s="674"/>
      <c r="C14" s="692"/>
      <c r="D14" s="689"/>
      <c r="E14" s="686"/>
      <c r="F14" s="131" t="s">
        <v>237</v>
      </c>
      <c r="G14" s="119" t="s">
        <v>132</v>
      </c>
      <c r="H14" s="119" t="s">
        <v>133</v>
      </c>
      <c r="I14" s="162" t="s">
        <v>134</v>
      </c>
      <c r="J14" s="163" t="s">
        <v>135</v>
      </c>
      <c r="K14" s="591"/>
      <c r="L14" s="666"/>
      <c r="M14" s="671"/>
      <c r="N14" s="591"/>
      <c r="O14" s="680"/>
      <c r="P14" s="24" t="s">
        <v>136</v>
      </c>
      <c r="Q14" s="119" t="s">
        <v>163</v>
      </c>
      <c r="R14" s="683"/>
      <c r="S14" s="24" t="s">
        <v>164</v>
      </c>
      <c r="T14" s="164" t="s">
        <v>137</v>
      </c>
      <c r="U14" s="644"/>
      <c r="V14" s="644"/>
      <c r="W14" s="619"/>
      <c r="X14" s="671"/>
      <c r="Y14" s="591"/>
      <c r="Z14" s="657"/>
      <c r="AA14" s="591"/>
      <c r="AB14" s="591"/>
      <c r="AC14" s="657"/>
      <c r="AD14" s="164" t="s">
        <v>181</v>
      </c>
      <c r="AE14" s="677"/>
      <c r="AF14" s="695"/>
      <c r="AG14" s="663"/>
      <c r="AH14" s="663"/>
      <c r="AI14" s="663"/>
      <c r="AJ14" s="126"/>
      <c r="AK14" s="127"/>
      <c r="AL14" s="127"/>
      <c r="AM14" s="127"/>
      <c r="AN14" s="663"/>
      <c r="AO14" s="660"/>
      <c r="AP14" s="660"/>
      <c r="AQ14" s="701"/>
      <c r="AR14" s="698"/>
      <c r="AS14" s="634"/>
      <c r="AT14" s="634"/>
      <c r="AU14" s="132" t="s">
        <v>138</v>
      </c>
      <c r="AV14" s="132" t="s">
        <v>139</v>
      </c>
      <c r="AW14" s="634"/>
      <c r="AX14" s="634"/>
      <c r="AY14" s="634"/>
      <c r="AZ14" s="132" t="s">
        <v>140</v>
      </c>
      <c r="BA14" s="132" t="s">
        <v>141</v>
      </c>
      <c r="BB14" s="634"/>
      <c r="BC14" s="712"/>
      <c r="BD14" s="716"/>
      <c r="BE14" s="660"/>
      <c r="BF14" s="707"/>
      <c r="BG14" s="654"/>
      <c r="BH14" s="715"/>
      <c r="BI14" s="652"/>
      <c r="BJ14" s="668"/>
      <c r="BK14" s="709"/>
      <c r="BM14" s="464" t="s">
        <v>169</v>
      </c>
      <c r="BN14" s="465" t="s">
        <v>170</v>
      </c>
      <c r="BQ14" s="702" t="s">
        <v>145</v>
      </c>
      <c r="BR14" s="703"/>
    </row>
    <row r="15" spans="1:70" s="165" customFormat="1" ht="15.75" customHeight="1">
      <c r="A15" s="474">
        <f>Доходи!A14</f>
        <v>1</v>
      </c>
      <c r="B15" s="475" t="str">
        <f>Доходи!B14</f>
        <v>с.Безуглівка</v>
      </c>
      <c r="C15" s="340">
        <v>0</v>
      </c>
      <c r="D15" s="83">
        <v>0</v>
      </c>
      <c r="E15" s="328"/>
      <c r="F15" s="485">
        <f>Доходи!E14*1000</f>
        <v>1495</v>
      </c>
      <c r="G15" s="20">
        <v>7</v>
      </c>
      <c r="H15" s="21">
        <v>3</v>
      </c>
      <c r="I15" s="61"/>
      <c r="J15" s="438">
        <f>ROUND(IF(C15=1,$J$13*F15*$K$8+I15,($J$6-$I$6)*($H$13*H15/$H$6+$F$13*F15/$F$6+$G$13*G15/$G$6)+I15),)</f>
        <v>119488</v>
      </c>
      <c r="K15" s="62">
        <v>174640</v>
      </c>
      <c r="L15" s="63">
        <v>140620</v>
      </c>
      <c r="M15" s="334">
        <v>98</v>
      </c>
      <c r="N15" s="64"/>
      <c r="O15" s="64"/>
      <c r="P15" s="440">
        <f>M15+N15+O15</f>
        <v>98</v>
      </c>
      <c r="Q15" s="166"/>
      <c r="R15" s="167"/>
      <c r="S15" s="48"/>
      <c r="T15" s="438">
        <f>ROUND((V15+W15+U15),0)</f>
        <v>103706</v>
      </c>
      <c r="U15" s="183">
        <f>ROUND(($BM15*$BM$13*1000),0)</f>
        <v>0</v>
      </c>
      <c r="V15" s="438">
        <f>ROUND(($BN15*$BN$13*1000),0)</f>
        <v>10116</v>
      </c>
      <c r="W15" s="476">
        <f>ROUND(IF(C15=1,IF(D15=1,$P$8*P15*$S$8*1000,$P$8*$Q$8*P15*1000),$V$6*($P$13*P15/$P$6+$S$13*S15/$S$6+$Q$13*Q15/$Q$6)),)</f>
        <v>93590</v>
      </c>
      <c r="X15" s="527"/>
      <c r="Y15" s="48"/>
      <c r="Z15" s="168"/>
      <c r="AA15" s="48"/>
      <c r="AB15" s="48"/>
      <c r="AC15" s="168"/>
      <c r="AD15" s="438">
        <f>($AD$13*(AA15*$AC$5+AB15*AC15+X15*$Z$5+Y15*Z15))*1000</f>
        <v>0</v>
      </c>
      <c r="AE15" s="476">
        <f>ROUND((AD15+T15),0)</f>
        <v>103706</v>
      </c>
      <c r="AF15" s="180"/>
      <c r="AG15" s="169"/>
      <c r="AH15" s="169"/>
      <c r="AI15" s="169"/>
      <c r="AJ15" s="169"/>
      <c r="AK15" s="170"/>
      <c r="AL15" s="169"/>
      <c r="AM15" s="169"/>
      <c r="AN15" s="169"/>
      <c r="AO15" s="171"/>
      <c r="AP15" s="172"/>
      <c r="AQ15" s="282"/>
      <c r="AR15" s="486">
        <f aca="true" t="shared" si="9" ref="AR15:AR44">F15</f>
        <v>1495</v>
      </c>
      <c r="AS15" s="48">
        <v>1293</v>
      </c>
      <c r="AT15" s="48"/>
      <c r="AU15" s="62"/>
      <c r="AV15" s="438">
        <f>AR15-AS15+AT15-AU15</f>
        <v>202</v>
      </c>
      <c r="AW15" s="438">
        <f>ROUND(AV15*$AV$13,)</f>
        <v>11025</v>
      </c>
      <c r="AX15" s="48"/>
      <c r="AY15" s="173"/>
      <c r="AZ15" s="174">
        <v>1495</v>
      </c>
      <c r="BA15" s="438">
        <f aca="true" t="shared" si="10" ref="BA15:BA44">AR15-AX15+AY15-AZ15</f>
        <v>0</v>
      </c>
      <c r="BB15" s="438">
        <f>BA15*$BA$13</f>
        <v>0</v>
      </c>
      <c r="BC15" s="174"/>
      <c r="BD15" s="487">
        <f>AW15+BB15</f>
        <v>11025</v>
      </c>
      <c r="BE15" s="169"/>
      <c r="BF15" s="174">
        <f>BD15</f>
        <v>11025</v>
      </c>
      <c r="BG15" s="471">
        <f>J15+AE15+BF15</f>
        <v>234219</v>
      </c>
      <c r="BH15" s="175"/>
      <c r="BI15" s="471"/>
      <c r="BJ15" s="283"/>
      <c r="BK15" s="478">
        <f>BG15+BJ15</f>
        <v>234219</v>
      </c>
      <c r="BM15" s="466"/>
      <c r="BN15" s="467">
        <v>98</v>
      </c>
      <c r="BQ15" s="444" t="s">
        <v>199</v>
      </c>
      <c r="BR15" s="445">
        <v>16451700</v>
      </c>
    </row>
    <row r="16" spans="1:70" s="165" customFormat="1" ht="15.75" customHeight="1">
      <c r="A16" s="474">
        <f>Доходи!A15</f>
        <v>2</v>
      </c>
      <c r="B16" s="475" t="str">
        <f>Доходи!B15</f>
        <v>с.Березанка</v>
      </c>
      <c r="C16" s="340">
        <v>0</v>
      </c>
      <c r="D16" s="83">
        <v>0</v>
      </c>
      <c r="E16" s="328"/>
      <c r="F16" s="485">
        <f>Доходи!E15*1000</f>
        <v>192</v>
      </c>
      <c r="G16" s="20">
        <v>1</v>
      </c>
      <c r="H16" s="21">
        <v>3</v>
      </c>
      <c r="I16" s="61"/>
      <c r="J16" s="438">
        <f aca="true" t="shared" si="11" ref="J16:J44">ROUND(IF(C16=1,$J$13*F16*$K$8+I16,($J$6-$I$6)*($H$13*H16/$H$6+$F$13*F16/$F$6+$G$13*G16/$G$6)+I16),)</f>
        <v>52615</v>
      </c>
      <c r="K16" s="62">
        <v>142638</v>
      </c>
      <c r="L16" s="63">
        <v>102630</v>
      </c>
      <c r="M16" s="334"/>
      <c r="N16" s="64"/>
      <c r="O16" s="64"/>
      <c r="P16" s="440">
        <f aca="true" t="shared" si="12" ref="P16:P44">M16+N16+O16</f>
        <v>0</v>
      </c>
      <c r="Q16" s="166"/>
      <c r="R16" s="176"/>
      <c r="S16" s="48"/>
      <c r="T16" s="438">
        <f aca="true" t="shared" si="13" ref="T16:T37">ROUND((V16+W16+U16),0)</f>
        <v>0</v>
      </c>
      <c r="U16" s="183">
        <f aca="true" t="shared" si="14" ref="U16:U44">$BM16*$BM$13*1000</f>
        <v>0</v>
      </c>
      <c r="V16" s="438">
        <f aca="true" t="shared" si="15" ref="V16:V44">$BN16*$BN$13*1000</f>
        <v>0</v>
      </c>
      <c r="W16" s="476">
        <f aca="true" t="shared" si="16" ref="W16:W44">ROUND(IF(C16=1,IF(D16=1,$P$8*P16*$S$8*1000,$P$8*$Q$8*P16*1000),$V$6*($P$13*P16/$P$6+$S$13*S16/$S$6+$Q$13*Q16/$Q$6)),)</f>
        <v>0</v>
      </c>
      <c r="X16" s="527"/>
      <c r="Y16" s="48"/>
      <c r="Z16" s="168"/>
      <c r="AA16" s="48"/>
      <c r="AB16" s="48"/>
      <c r="AC16" s="168"/>
      <c r="AD16" s="438">
        <f aca="true" t="shared" si="17" ref="AD16:AD44">($AD$13*(AA16*$AC$5+AB16*AC16+X16*$Z$5+Y16*Z16))*1000</f>
        <v>0</v>
      </c>
      <c r="AE16" s="476">
        <f aca="true" t="shared" si="18" ref="AE16:AE44">ROUND((AD16+T16),0)</f>
        <v>0</v>
      </c>
      <c r="AF16" s="180"/>
      <c r="AG16" s="169"/>
      <c r="AH16" s="169"/>
      <c r="AI16" s="169"/>
      <c r="AJ16" s="169"/>
      <c r="AK16" s="170"/>
      <c r="AL16" s="169"/>
      <c r="AM16" s="169"/>
      <c r="AN16" s="169"/>
      <c r="AO16" s="171"/>
      <c r="AP16" s="172"/>
      <c r="AQ16" s="282"/>
      <c r="AR16" s="486">
        <f>F16</f>
        <v>192</v>
      </c>
      <c r="AS16" s="48">
        <v>192</v>
      </c>
      <c r="AT16" s="48"/>
      <c r="AU16" s="62"/>
      <c r="AV16" s="438">
        <f>AR16-AS16+AT16-AU16</f>
        <v>0</v>
      </c>
      <c r="AW16" s="438">
        <f aca="true" t="shared" si="19" ref="AW16:AW44">ROUND(AV16*$AV$13,)</f>
        <v>0</v>
      </c>
      <c r="AX16" s="48"/>
      <c r="AY16" s="173"/>
      <c r="AZ16" s="174">
        <v>192</v>
      </c>
      <c r="BA16" s="438">
        <f>AR16-AX16+AY16-AZ16</f>
        <v>0</v>
      </c>
      <c r="BB16" s="438">
        <f aca="true" t="shared" si="20" ref="BB16:BB44">BA16*$BA$13</f>
        <v>0</v>
      </c>
      <c r="BC16" s="174"/>
      <c r="BD16" s="487">
        <f aca="true" t="shared" si="21" ref="BD16:BD44">AW16+BB16</f>
        <v>0</v>
      </c>
      <c r="BE16" s="169"/>
      <c r="BF16" s="174">
        <f aca="true" t="shared" si="22" ref="BF16:BF44">BD16</f>
        <v>0</v>
      </c>
      <c r="BG16" s="471">
        <f aca="true" t="shared" si="23" ref="BG16:BG44">J16+AE16+BF16</f>
        <v>52615</v>
      </c>
      <c r="BH16" s="175"/>
      <c r="BI16" s="471"/>
      <c r="BJ16" s="283"/>
      <c r="BK16" s="478">
        <f aca="true" t="shared" si="24" ref="BK16:BK44">BG16+BJ16</f>
        <v>52615</v>
      </c>
      <c r="BM16" s="466"/>
      <c r="BN16" s="467"/>
      <c r="BQ16" s="444" t="s">
        <v>197</v>
      </c>
      <c r="BR16" s="445">
        <v>3497000</v>
      </c>
    </row>
    <row r="17" spans="1:70" s="165" customFormat="1" ht="15.75" customHeight="1">
      <c r="A17" s="474">
        <f>Доходи!A16</f>
        <v>3</v>
      </c>
      <c r="B17" s="475" t="str">
        <f>Доходи!B16</f>
        <v>с.Бурківка</v>
      </c>
      <c r="C17" s="340">
        <v>0</v>
      </c>
      <c r="D17" s="83">
        <v>0</v>
      </c>
      <c r="E17" s="328"/>
      <c r="F17" s="485">
        <f>Доходи!E16*1000</f>
        <v>322</v>
      </c>
      <c r="G17" s="20">
        <v>1</v>
      </c>
      <c r="H17" s="21">
        <v>3</v>
      </c>
      <c r="I17" s="61"/>
      <c r="J17" s="438">
        <f t="shared" si="11"/>
        <v>59287</v>
      </c>
      <c r="K17" s="62">
        <v>147475</v>
      </c>
      <c r="L17" s="63">
        <v>112100</v>
      </c>
      <c r="M17" s="334">
        <v>18</v>
      </c>
      <c r="N17" s="64">
        <v>-18</v>
      </c>
      <c r="O17" s="64"/>
      <c r="P17" s="440">
        <f t="shared" si="12"/>
        <v>0</v>
      </c>
      <c r="Q17" s="166"/>
      <c r="R17" s="176"/>
      <c r="S17" s="48"/>
      <c r="T17" s="438">
        <f t="shared" si="13"/>
        <v>0</v>
      </c>
      <c r="U17" s="183">
        <f t="shared" si="14"/>
        <v>0</v>
      </c>
      <c r="V17" s="438">
        <f t="shared" si="15"/>
        <v>0</v>
      </c>
      <c r="W17" s="476">
        <f t="shared" si="16"/>
        <v>0</v>
      </c>
      <c r="X17" s="528"/>
      <c r="Y17" s="48"/>
      <c r="Z17" s="168"/>
      <c r="AA17" s="48"/>
      <c r="AB17" s="48"/>
      <c r="AC17" s="168"/>
      <c r="AD17" s="438">
        <f t="shared" si="17"/>
        <v>0</v>
      </c>
      <c r="AE17" s="476">
        <f t="shared" si="18"/>
        <v>0</v>
      </c>
      <c r="AF17" s="180"/>
      <c r="AG17" s="169"/>
      <c r="AH17" s="169"/>
      <c r="AI17" s="169"/>
      <c r="AJ17" s="169"/>
      <c r="AK17" s="170"/>
      <c r="AL17" s="169"/>
      <c r="AM17" s="169"/>
      <c r="AN17" s="169"/>
      <c r="AO17" s="171"/>
      <c r="AP17" s="172"/>
      <c r="AQ17" s="282"/>
      <c r="AR17" s="486">
        <f t="shared" si="9"/>
        <v>322</v>
      </c>
      <c r="AS17" s="48"/>
      <c r="AT17" s="48"/>
      <c r="AU17" s="62"/>
      <c r="AV17" s="438">
        <f aca="true" t="shared" si="25" ref="AV17:AV44">AR17-AS17+AT17-AU17</f>
        <v>322</v>
      </c>
      <c r="AW17" s="438">
        <f t="shared" si="19"/>
        <v>17574</v>
      </c>
      <c r="AX17" s="48"/>
      <c r="AY17" s="173"/>
      <c r="AZ17" s="174">
        <v>322</v>
      </c>
      <c r="BA17" s="438">
        <f t="shared" si="10"/>
        <v>0</v>
      </c>
      <c r="BB17" s="438">
        <f t="shared" si="20"/>
        <v>0</v>
      </c>
      <c r="BC17" s="174"/>
      <c r="BD17" s="487">
        <f t="shared" si="21"/>
        <v>17574</v>
      </c>
      <c r="BE17" s="169"/>
      <c r="BF17" s="174">
        <f t="shared" si="22"/>
        <v>17574</v>
      </c>
      <c r="BG17" s="471">
        <f t="shared" si="23"/>
        <v>76861</v>
      </c>
      <c r="BH17" s="175"/>
      <c r="BI17" s="471"/>
      <c r="BJ17" s="283"/>
      <c r="BK17" s="478">
        <f t="shared" si="24"/>
        <v>76861</v>
      </c>
      <c r="BM17" s="466"/>
      <c r="BN17" s="467"/>
      <c r="BQ17" s="444" t="s">
        <v>198</v>
      </c>
      <c r="BR17" s="445">
        <v>371800</v>
      </c>
    </row>
    <row r="18" spans="1:70" s="165" customFormat="1" ht="15.75" customHeight="1" thickBot="1">
      <c r="A18" s="474">
        <f>Доходи!A17</f>
        <v>4</v>
      </c>
      <c r="B18" s="475" t="str">
        <f>Доходи!B17</f>
        <v>с.Велика Дорога</v>
      </c>
      <c r="C18" s="340">
        <v>0</v>
      </c>
      <c r="D18" s="83">
        <v>0</v>
      </c>
      <c r="E18" s="328"/>
      <c r="F18" s="485">
        <f>Доходи!E17*1000</f>
        <v>703</v>
      </c>
      <c r="G18" s="20">
        <v>3</v>
      </c>
      <c r="H18" s="21">
        <v>3</v>
      </c>
      <c r="I18" s="61"/>
      <c r="J18" s="438">
        <f t="shared" si="11"/>
        <v>78841</v>
      </c>
      <c r="K18" s="62">
        <v>171833</v>
      </c>
      <c r="L18" s="63">
        <v>121350</v>
      </c>
      <c r="M18" s="334">
        <v>46</v>
      </c>
      <c r="N18" s="64">
        <v>29</v>
      </c>
      <c r="O18" s="64"/>
      <c r="P18" s="440">
        <f t="shared" si="12"/>
        <v>75</v>
      </c>
      <c r="Q18" s="166">
        <v>1</v>
      </c>
      <c r="R18" s="176"/>
      <c r="S18" s="48">
        <v>17</v>
      </c>
      <c r="T18" s="438">
        <f t="shared" si="13"/>
        <v>154981</v>
      </c>
      <c r="U18" s="183">
        <f t="shared" si="14"/>
        <v>2249.2332174498783</v>
      </c>
      <c r="V18" s="438">
        <f t="shared" si="15"/>
        <v>0</v>
      </c>
      <c r="W18" s="476">
        <f t="shared" si="16"/>
        <v>152732</v>
      </c>
      <c r="X18" s="528"/>
      <c r="Y18" s="48"/>
      <c r="Z18" s="168"/>
      <c r="AA18" s="48"/>
      <c r="AB18" s="48"/>
      <c r="AC18" s="168"/>
      <c r="AD18" s="438">
        <f t="shared" si="17"/>
        <v>0</v>
      </c>
      <c r="AE18" s="476">
        <f t="shared" si="18"/>
        <v>154981</v>
      </c>
      <c r="AF18" s="180"/>
      <c r="AG18" s="169"/>
      <c r="AH18" s="169"/>
      <c r="AI18" s="169"/>
      <c r="AJ18" s="169"/>
      <c r="AK18" s="170"/>
      <c r="AL18" s="169"/>
      <c r="AM18" s="169"/>
      <c r="AN18" s="169"/>
      <c r="AO18" s="171"/>
      <c r="AP18" s="172"/>
      <c r="AQ18" s="282"/>
      <c r="AR18" s="486">
        <f t="shared" si="9"/>
        <v>703</v>
      </c>
      <c r="AS18" s="48">
        <v>486</v>
      </c>
      <c r="AT18" s="48"/>
      <c r="AU18" s="62"/>
      <c r="AV18" s="438">
        <f t="shared" si="25"/>
        <v>217</v>
      </c>
      <c r="AW18" s="438">
        <f t="shared" si="19"/>
        <v>11843</v>
      </c>
      <c r="AX18" s="48"/>
      <c r="AY18" s="173"/>
      <c r="AZ18" s="174">
        <v>703</v>
      </c>
      <c r="BA18" s="438">
        <f t="shared" si="10"/>
        <v>0</v>
      </c>
      <c r="BB18" s="438">
        <f t="shared" si="20"/>
        <v>0</v>
      </c>
      <c r="BC18" s="174"/>
      <c r="BD18" s="487">
        <f t="shared" si="21"/>
        <v>11843</v>
      </c>
      <c r="BE18" s="169"/>
      <c r="BF18" s="174">
        <f t="shared" si="22"/>
        <v>11843</v>
      </c>
      <c r="BG18" s="471">
        <f t="shared" si="23"/>
        <v>245665</v>
      </c>
      <c r="BH18" s="175"/>
      <c r="BI18" s="471"/>
      <c r="BJ18" s="283"/>
      <c r="BK18" s="478">
        <f t="shared" si="24"/>
        <v>245665</v>
      </c>
      <c r="BM18" s="466">
        <v>75</v>
      </c>
      <c r="BN18" s="467"/>
      <c r="BQ18" s="446" t="s">
        <v>200</v>
      </c>
      <c r="BR18" s="483">
        <f>+BR15+BR16+BR17+BK49</f>
        <v>52613037.69135778</v>
      </c>
    </row>
    <row r="19" spans="1:70" s="165" customFormat="1" ht="15.75" customHeight="1">
      <c r="A19" s="474">
        <f>Доходи!A18</f>
        <v>5</v>
      </c>
      <c r="B19" s="475" t="str">
        <f>Доходи!B18</f>
        <v>с.Велика Кошелівка</v>
      </c>
      <c r="C19" s="340">
        <v>0</v>
      </c>
      <c r="D19" s="83">
        <v>0</v>
      </c>
      <c r="E19" s="328"/>
      <c r="F19" s="485">
        <f>Доходи!E18*1000</f>
        <v>560</v>
      </c>
      <c r="G19" s="20">
        <v>1</v>
      </c>
      <c r="H19" s="21">
        <v>3</v>
      </c>
      <c r="I19" s="61"/>
      <c r="J19" s="438">
        <f t="shared" si="11"/>
        <v>71502</v>
      </c>
      <c r="K19" s="62">
        <v>164912</v>
      </c>
      <c r="L19" s="63">
        <v>115483</v>
      </c>
      <c r="M19" s="334">
        <v>34</v>
      </c>
      <c r="N19" s="64">
        <v>-34</v>
      </c>
      <c r="O19" s="64"/>
      <c r="P19" s="440">
        <f t="shared" si="12"/>
        <v>0</v>
      </c>
      <c r="Q19" s="166"/>
      <c r="R19" s="176"/>
      <c r="S19" s="48"/>
      <c r="T19" s="438">
        <f t="shared" si="13"/>
        <v>0</v>
      </c>
      <c r="U19" s="183">
        <f t="shared" si="14"/>
        <v>0</v>
      </c>
      <c r="V19" s="438">
        <f t="shared" si="15"/>
        <v>0</v>
      </c>
      <c r="W19" s="476">
        <f t="shared" si="16"/>
        <v>0</v>
      </c>
      <c r="X19" s="528"/>
      <c r="Y19" s="48"/>
      <c r="Z19" s="168"/>
      <c r="AA19" s="48"/>
      <c r="AB19" s="48"/>
      <c r="AC19" s="168"/>
      <c r="AD19" s="438">
        <f t="shared" si="17"/>
        <v>0</v>
      </c>
      <c r="AE19" s="476">
        <f t="shared" si="18"/>
        <v>0</v>
      </c>
      <c r="AF19" s="180"/>
      <c r="AG19" s="169"/>
      <c r="AH19" s="169"/>
      <c r="AI19" s="169"/>
      <c r="AJ19" s="169"/>
      <c r="AK19" s="170"/>
      <c r="AL19" s="169"/>
      <c r="AM19" s="169"/>
      <c r="AN19" s="169"/>
      <c r="AO19" s="171"/>
      <c r="AP19" s="172"/>
      <c r="AQ19" s="282"/>
      <c r="AR19" s="486">
        <f t="shared" si="9"/>
        <v>560</v>
      </c>
      <c r="AS19" s="48"/>
      <c r="AT19" s="48"/>
      <c r="AU19" s="62"/>
      <c r="AV19" s="438">
        <f t="shared" si="25"/>
        <v>560</v>
      </c>
      <c r="AW19" s="438">
        <f t="shared" si="19"/>
        <v>30563</v>
      </c>
      <c r="AX19" s="48"/>
      <c r="AY19" s="173"/>
      <c r="AZ19" s="174">
        <v>560</v>
      </c>
      <c r="BA19" s="438">
        <f t="shared" si="10"/>
        <v>0</v>
      </c>
      <c r="BB19" s="438">
        <f t="shared" si="20"/>
        <v>0</v>
      </c>
      <c r="BC19" s="174"/>
      <c r="BD19" s="487">
        <f t="shared" si="21"/>
        <v>30563</v>
      </c>
      <c r="BE19" s="169"/>
      <c r="BF19" s="174">
        <f t="shared" si="22"/>
        <v>30563</v>
      </c>
      <c r="BG19" s="471">
        <f t="shared" si="23"/>
        <v>102065</v>
      </c>
      <c r="BH19" s="175"/>
      <c r="BI19" s="471"/>
      <c r="BJ19" s="283"/>
      <c r="BK19" s="478">
        <f t="shared" si="24"/>
        <v>102065</v>
      </c>
      <c r="BM19" s="466"/>
      <c r="BN19" s="467"/>
      <c r="BR19" s="484">
        <f>IF(BR18-BQ6=0,"",BR18-BQ6)-1</f>
        <v>-0.3086422234773636</v>
      </c>
    </row>
    <row r="20" spans="1:66" s="165" customFormat="1" ht="15.75" customHeight="1">
      <c r="A20" s="474">
        <f>Доходи!A19</f>
        <v>6</v>
      </c>
      <c r="B20" s="475" t="str">
        <f>Доходи!B19</f>
        <v>с.Вертіївка</v>
      </c>
      <c r="C20" s="340">
        <v>0</v>
      </c>
      <c r="D20" s="83">
        <v>0</v>
      </c>
      <c r="E20" s="328"/>
      <c r="F20" s="485">
        <f>Доходи!E19*1000</f>
        <v>4358</v>
      </c>
      <c r="G20" s="20">
        <v>8</v>
      </c>
      <c r="H20" s="21">
        <v>5.5</v>
      </c>
      <c r="I20" s="61"/>
      <c r="J20" s="438">
        <f t="shared" si="11"/>
        <v>302058</v>
      </c>
      <c r="K20" s="62">
        <v>666001</v>
      </c>
      <c r="L20" s="63">
        <v>439654</v>
      </c>
      <c r="M20" s="334">
        <v>189</v>
      </c>
      <c r="N20" s="64"/>
      <c r="O20" s="64"/>
      <c r="P20" s="440">
        <f t="shared" si="12"/>
        <v>189</v>
      </c>
      <c r="Q20" s="166">
        <v>4</v>
      </c>
      <c r="R20" s="176"/>
      <c r="S20" s="48">
        <v>80</v>
      </c>
      <c r="T20" s="438">
        <f t="shared" si="13"/>
        <v>510590</v>
      </c>
      <c r="U20" s="183">
        <f t="shared" si="14"/>
        <v>5668.067707973692</v>
      </c>
      <c r="V20" s="438">
        <f t="shared" si="15"/>
        <v>0</v>
      </c>
      <c r="W20" s="476">
        <f t="shared" si="16"/>
        <v>504922</v>
      </c>
      <c r="X20" s="528"/>
      <c r="Y20" s="48"/>
      <c r="Z20" s="168"/>
      <c r="AA20" s="48"/>
      <c r="AB20" s="48"/>
      <c r="AC20" s="168"/>
      <c r="AD20" s="438">
        <f t="shared" si="17"/>
        <v>0</v>
      </c>
      <c r="AE20" s="476">
        <f t="shared" si="18"/>
        <v>510590</v>
      </c>
      <c r="AF20" s="180"/>
      <c r="AG20" s="177"/>
      <c r="AH20" s="169"/>
      <c r="AI20" s="169"/>
      <c r="AJ20" s="169"/>
      <c r="AK20" s="170"/>
      <c r="AL20" s="169"/>
      <c r="AM20" s="169"/>
      <c r="AN20" s="169"/>
      <c r="AO20" s="171"/>
      <c r="AP20" s="172"/>
      <c r="AQ20" s="282"/>
      <c r="AR20" s="486">
        <f t="shared" si="9"/>
        <v>4358</v>
      </c>
      <c r="AS20" s="48"/>
      <c r="AT20" s="48"/>
      <c r="AU20" s="62"/>
      <c r="AV20" s="438">
        <f t="shared" si="25"/>
        <v>4358</v>
      </c>
      <c r="AW20" s="438">
        <f t="shared" si="19"/>
        <v>237846</v>
      </c>
      <c r="AX20" s="48"/>
      <c r="AY20" s="173"/>
      <c r="AZ20" s="174">
        <v>4358</v>
      </c>
      <c r="BA20" s="438">
        <f t="shared" si="10"/>
        <v>0</v>
      </c>
      <c r="BB20" s="438">
        <f t="shared" si="20"/>
        <v>0</v>
      </c>
      <c r="BC20" s="174"/>
      <c r="BD20" s="487">
        <f t="shared" si="21"/>
        <v>237846</v>
      </c>
      <c r="BE20" s="169"/>
      <c r="BF20" s="174">
        <f t="shared" si="22"/>
        <v>237846</v>
      </c>
      <c r="BG20" s="471">
        <f t="shared" si="23"/>
        <v>1050494</v>
      </c>
      <c r="BH20" s="175"/>
      <c r="BI20" s="471"/>
      <c r="BJ20" s="283"/>
      <c r="BK20" s="478">
        <f t="shared" si="24"/>
        <v>1050494</v>
      </c>
      <c r="BM20" s="466">
        <v>189</v>
      </c>
      <c r="BN20" s="467"/>
    </row>
    <row r="21" spans="1:66" s="165" customFormat="1" ht="15.75" customHeight="1">
      <c r="A21" s="474">
        <f>Доходи!A20</f>
        <v>7</v>
      </c>
      <c r="B21" s="475" t="str">
        <f>Доходи!B20</f>
        <v>с.Вікторівка</v>
      </c>
      <c r="C21" s="340">
        <v>0</v>
      </c>
      <c r="D21" s="83">
        <v>0</v>
      </c>
      <c r="E21" s="328"/>
      <c r="F21" s="485">
        <f>Доходи!E20*1000</f>
        <v>659</v>
      </c>
      <c r="G21" s="20">
        <v>3</v>
      </c>
      <c r="H21" s="21">
        <v>3</v>
      </c>
      <c r="I21" s="61"/>
      <c r="J21" s="438">
        <f t="shared" si="11"/>
        <v>76583</v>
      </c>
      <c r="K21" s="62">
        <v>194298</v>
      </c>
      <c r="L21" s="63">
        <v>137400</v>
      </c>
      <c r="M21" s="334">
        <v>21</v>
      </c>
      <c r="N21" s="64">
        <v>-21</v>
      </c>
      <c r="O21" s="64"/>
      <c r="P21" s="440">
        <f t="shared" si="12"/>
        <v>0</v>
      </c>
      <c r="Q21" s="166"/>
      <c r="R21" s="176"/>
      <c r="S21" s="48"/>
      <c r="T21" s="438">
        <f t="shared" si="13"/>
        <v>0</v>
      </c>
      <c r="U21" s="183">
        <f t="shared" si="14"/>
        <v>0</v>
      </c>
      <c r="V21" s="438">
        <f t="shared" si="15"/>
        <v>0</v>
      </c>
      <c r="W21" s="476">
        <f t="shared" si="16"/>
        <v>0</v>
      </c>
      <c r="X21" s="528"/>
      <c r="Y21" s="48"/>
      <c r="Z21" s="168"/>
      <c r="AA21" s="48"/>
      <c r="AB21" s="48"/>
      <c r="AC21" s="168"/>
      <c r="AD21" s="438">
        <f t="shared" si="17"/>
        <v>0</v>
      </c>
      <c r="AE21" s="476">
        <f t="shared" si="18"/>
        <v>0</v>
      </c>
      <c r="AF21" s="180"/>
      <c r="AG21" s="169"/>
      <c r="AH21" s="169"/>
      <c r="AI21" s="169"/>
      <c r="AJ21" s="169"/>
      <c r="AK21" s="170"/>
      <c r="AL21" s="169"/>
      <c r="AM21" s="169"/>
      <c r="AN21" s="169"/>
      <c r="AO21" s="171"/>
      <c r="AP21" s="172"/>
      <c r="AQ21" s="282"/>
      <c r="AR21" s="486">
        <f t="shared" si="9"/>
        <v>659</v>
      </c>
      <c r="AS21" s="48">
        <v>492</v>
      </c>
      <c r="AT21" s="48"/>
      <c r="AU21" s="62"/>
      <c r="AV21" s="438">
        <f t="shared" si="25"/>
        <v>167</v>
      </c>
      <c r="AW21" s="438">
        <f t="shared" si="19"/>
        <v>9114</v>
      </c>
      <c r="AX21" s="48"/>
      <c r="AY21" s="173"/>
      <c r="AZ21" s="174">
        <v>659</v>
      </c>
      <c r="BA21" s="438">
        <f t="shared" si="10"/>
        <v>0</v>
      </c>
      <c r="BB21" s="438">
        <f t="shared" si="20"/>
        <v>0</v>
      </c>
      <c r="BC21" s="174"/>
      <c r="BD21" s="487">
        <f t="shared" si="21"/>
        <v>9114</v>
      </c>
      <c r="BE21" s="169"/>
      <c r="BF21" s="174">
        <f t="shared" si="22"/>
        <v>9114</v>
      </c>
      <c r="BG21" s="471">
        <f t="shared" si="23"/>
        <v>85697</v>
      </c>
      <c r="BH21" s="175"/>
      <c r="BI21" s="471"/>
      <c r="BJ21" s="283"/>
      <c r="BK21" s="478">
        <f t="shared" si="24"/>
        <v>85697</v>
      </c>
      <c r="BM21" s="466"/>
      <c r="BN21" s="467"/>
    </row>
    <row r="22" spans="1:66" s="165" customFormat="1" ht="15.75" customHeight="1">
      <c r="A22" s="474">
        <f>Доходи!A21</f>
        <v>8</v>
      </c>
      <c r="B22" s="475" t="str">
        <f>Доходи!B21</f>
        <v>с.Галиця</v>
      </c>
      <c r="C22" s="340">
        <v>0</v>
      </c>
      <c r="D22" s="83">
        <v>0</v>
      </c>
      <c r="E22" s="328"/>
      <c r="F22" s="485">
        <f>Доходи!E21*1000</f>
        <v>1476</v>
      </c>
      <c r="G22" s="20">
        <v>2</v>
      </c>
      <c r="H22" s="21">
        <v>3</v>
      </c>
      <c r="I22" s="61"/>
      <c r="J22" s="438">
        <f t="shared" si="11"/>
        <v>118513</v>
      </c>
      <c r="K22" s="62">
        <v>220420</v>
      </c>
      <c r="L22" s="63">
        <v>163420</v>
      </c>
      <c r="M22" s="334">
        <v>59</v>
      </c>
      <c r="N22" s="64">
        <v>7</v>
      </c>
      <c r="O22" s="64"/>
      <c r="P22" s="440">
        <f t="shared" si="12"/>
        <v>66</v>
      </c>
      <c r="Q22" s="166">
        <v>1</v>
      </c>
      <c r="R22" s="176"/>
      <c r="S22" s="48">
        <v>20</v>
      </c>
      <c r="T22" s="438">
        <f t="shared" si="13"/>
        <v>146116</v>
      </c>
      <c r="U22" s="183">
        <f t="shared" si="14"/>
        <v>1979.3252313558928</v>
      </c>
      <c r="V22" s="438">
        <f>ROUND(($BN22*$BN$13*1000),0)</f>
        <v>0</v>
      </c>
      <c r="W22" s="476">
        <f t="shared" si="16"/>
        <v>144137</v>
      </c>
      <c r="X22" s="528"/>
      <c r="Y22" s="48">
        <v>14</v>
      </c>
      <c r="Z22" s="168">
        <v>1.751</v>
      </c>
      <c r="AA22" s="48"/>
      <c r="AB22" s="48"/>
      <c r="AC22" s="168"/>
      <c r="AD22" s="438">
        <f t="shared" si="17"/>
        <v>199116.83573808914</v>
      </c>
      <c r="AE22" s="476">
        <f t="shared" si="18"/>
        <v>345233</v>
      </c>
      <c r="AF22" s="180"/>
      <c r="AG22" s="177"/>
      <c r="AH22" s="169"/>
      <c r="AI22" s="169"/>
      <c r="AJ22" s="169"/>
      <c r="AK22" s="170"/>
      <c r="AL22" s="169"/>
      <c r="AM22" s="169"/>
      <c r="AN22" s="169"/>
      <c r="AO22" s="171"/>
      <c r="AP22" s="172"/>
      <c r="AQ22" s="282"/>
      <c r="AR22" s="486">
        <f t="shared" si="9"/>
        <v>1476</v>
      </c>
      <c r="AS22" s="48">
        <v>974</v>
      </c>
      <c r="AT22" s="48"/>
      <c r="AU22" s="62"/>
      <c r="AV22" s="438">
        <f t="shared" si="25"/>
        <v>502</v>
      </c>
      <c r="AW22" s="438">
        <f t="shared" si="19"/>
        <v>27398</v>
      </c>
      <c r="AX22" s="48"/>
      <c r="AY22" s="173"/>
      <c r="AZ22" s="174">
        <v>1476</v>
      </c>
      <c r="BA22" s="438">
        <f t="shared" si="10"/>
        <v>0</v>
      </c>
      <c r="BB22" s="438">
        <f t="shared" si="20"/>
        <v>0</v>
      </c>
      <c r="BC22" s="174"/>
      <c r="BD22" s="487">
        <f t="shared" si="21"/>
        <v>27398</v>
      </c>
      <c r="BE22" s="169"/>
      <c r="BF22" s="174">
        <f t="shared" si="22"/>
        <v>27398</v>
      </c>
      <c r="BG22" s="471">
        <f t="shared" si="23"/>
        <v>491144</v>
      </c>
      <c r="BH22" s="175"/>
      <c r="BI22" s="471"/>
      <c r="BJ22" s="283"/>
      <c r="BK22" s="478">
        <f t="shared" si="24"/>
        <v>491144</v>
      </c>
      <c r="BM22" s="466">
        <v>66</v>
      </c>
      <c r="BN22" s="467"/>
    </row>
    <row r="23" spans="1:66" s="165" customFormat="1" ht="15.75" customHeight="1">
      <c r="A23" s="474">
        <f>Доходи!A22</f>
        <v>9</v>
      </c>
      <c r="B23" s="475" t="str">
        <f>Доходи!B22</f>
        <v>с.Григоро-Іванівка</v>
      </c>
      <c r="C23" s="340">
        <v>0</v>
      </c>
      <c r="D23" s="83">
        <v>0</v>
      </c>
      <c r="E23" s="328"/>
      <c r="F23" s="485">
        <f>Доходи!E22*1000</f>
        <v>1504</v>
      </c>
      <c r="G23" s="20">
        <v>2</v>
      </c>
      <c r="H23" s="21">
        <v>3</v>
      </c>
      <c r="I23" s="61"/>
      <c r="J23" s="438">
        <f t="shared" si="11"/>
        <v>119950</v>
      </c>
      <c r="K23" s="62">
        <v>339880</v>
      </c>
      <c r="L23" s="63">
        <v>287280</v>
      </c>
      <c r="M23" s="334">
        <v>114</v>
      </c>
      <c r="N23" s="64"/>
      <c r="O23" s="64"/>
      <c r="P23" s="440">
        <f t="shared" si="12"/>
        <v>114</v>
      </c>
      <c r="Q23" s="166"/>
      <c r="R23" s="176"/>
      <c r="S23" s="48"/>
      <c r="T23" s="438">
        <f t="shared" si="13"/>
        <v>112289</v>
      </c>
      <c r="U23" s="183">
        <f>ROUND(($BM23*$BM$13*1000),0)</f>
        <v>3419</v>
      </c>
      <c r="V23" s="438">
        <f>ROUND(($BN23*$BN$13*1000),0)</f>
        <v>0</v>
      </c>
      <c r="W23" s="476">
        <f>ROUND(IF(C23=1,IF(D23=1,$P$8*P23*$S$8*1000,$P$8*$Q$8*P23*1000),$V$6*($P$13*P23/$P$6+$S$13*S23/$S$6+$Q$13*Q23/$Q$6)),)</f>
        <v>108870</v>
      </c>
      <c r="X23" s="528"/>
      <c r="Y23" s="48"/>
      <c r="Z23" s="168"/>
      <c r="AA23" s="48"/>
      <c r="AB23" s="48"/>
      <c r="AC23" s="168"/>
      <c r="AD23" s="438">
        <f t="shared" si="17"/>
        <v>0</v>
      </c>
      <c r="AE23" s="476">
        <f t="shared" si="18"/>
        <v>112289</v>
      </c>
      <c r="AF23" s="180"/>
      <c r="AG23" s="169"/>
      <c r="AH23" s="169"/>
      <c r="AI23" s="169"/>
      <c r="AJ23" s="169"/>
      <c r="AK23" s="170"/>
      <c r="AL23" s="169"/>
      <c r="AM23" s="169"/>
      <c r="AN23" s="169"/>
      <c r="AO23" s="171"/>
      <c r="AP23" s="172"/>
      <c r="AQ23" s="282"/>
      <c r="AR23" s="486">
        <f>F23</f>
        <v>1504</v>
      </c>
      <c r="AS23" s="48">
        <v>480</v>
      </c>
      <c r="AT23" s="48"/>
      <c r="AU23" s="62"/>
      <c r="AV23" s="438">
        <f>AR23-AS23+AT23-AU23</f>
        <v>1024</v>
      </c>
      <c r="AW23" s="438">
        <f t="shared" si="19"/>
        <v>55887</v>
      </c>
      <c r="AX23" s="48"/>
      <c r="AY23" s="173"/>
      <c r="AZ23" s="174">
        <v>1504</v>
      </c>
      <c r="BA23" s="438">
        <f>AR23-AX23+AY23-AZ23</f>
        <v>0</v>
      </c>
      <c r="BB23" s="438">
        <f t="shared" si="20"/>
        <v>0</v>
      </c>
      <c r="BC23" s="174"/>
      <c r="BD23" s="487">
        <f t="shared" si="21"/>
        <v>55887</v>
      </c>
      <c r="BE23" s="169"/>
      <c r="BF23" s="174">
        <f t="shared" si="22"/>
        <v>55887</v>
      </c>
      <c r="BG23" s="471">
        <f t="shared" si="23"/>
        <v>288126</v>
      </c>
      <c r="BH23" s="175"/>
      <c r="BI23" s="471"/>
      <c r="BJ23" s="283"/>
      <c r="BK23" s="478">
        <f t="shared" si="24"/>
        <v>288126</v>
      </c>
      <c r="BM23" s="466">
        <v>114</v>
      </c>
      <c r="BN23" s="467"/>
    </row>
    <row r="24" spans="1:66" s="165" customFormat="1" ht="15.75" customHeight="1">
      <c r="A24" s="474">
        <f>Доходи!A23</f>
        <v>10</v>
      </c>
      <c r="B24" s="475" t="str">
        <f>Доходи!B23</f>
        <v>с.Данине</v>
      </c>
      <c r="C24" s="340">
        <v>0</v>
      </c>
      <c r="D24" s="83">
        <v>0</v>
      </c>
      <c r="E24" s="328"/>
      <c r="F24" s="485">
        <f>Доходи!E23*1000</f>
        <v>781</v>
      </c>
      <c r="G24" s="20">
        <v>1</v>
      </c>
      <c r="H24" s="21">
        <v>3</v>
      </c>
      <c r="I24" s="61"/>
      <c r="J24" s="438">
        <f t="shared" si="11"/>
        <v>82844</v>
      </c>
      <c r="K24" s="62">
        <v>193068</v>
      </c>
      <c r="L24" s="63">
        <v>129800</v>
      </c>
      <c r="M24" s="334">
        <v>28</v>
      </c>
      <c r="N24" s="64">
        <v>27</v>
      </c>
      <c r="O24" s="64"/>
      <c r="P24" s="440">
        <f t="shared" si="12"/>
        <v>55</v>
      </c>
      <c r="Q24" s="166">
        <v>1</v>
      </c>
      <c r="R24" s="176"/>
      <c r="S24" s="48">
        <v>14</v>
      </c>
      <c r="T24" s="438">
        <f t="shared" si="13"/>
        <v>135281</v>
      </c>
      <c r="U24" s="183">
        <f t="shared" si="14"/>
        <v>1649.4376927965773</v>
      </c>
      <c r="V24" s="438">
        <f t="shared" si="15"/>
        <v>0</v>
      </c>
      <c r="W24" s="476">
        <f>ROUND(IF(C24=1,IF(D24=1,$P$8*P24*$S$8*1000,$P$8*$Q$8*P24*1000),$V$6*($P$13*P24/$P$6+$S$13*S24/$S$6+$Q$13*Q24/$Q$6)),)</f>
        <v>133632</v>
      </c>
      <c r="X24" s="528"/>
      <c r="Y24" s="48"/>
      <c r="Z24" s="168"/>
      <c r="AA24" s="48"/>
      <c r="AB24" s="48"/>
      <c r="AC24" s="168"/>
      <c r="AD24" s="438">
        <f t="shared" si="17"/>
        <v>0</v>
      </c>
      <c r="AE24" s="476">
        <f t="shared" si="18"/>
        <v>135281</v>
      </c>
      <c r="AF24" s="180"/>
      <c r="AG24" s="169"/>
      <c r="AH24" s="169"/>
      <c r="AI24" s="169"/>
      <c r="AJ24" s="169"/>
      <c r="AK24" s="170"/>
      <c r="AL24" s="169"/>
      <c r="AM24" s="169"/>
      <c r="AN24" s="169"/>
      <c r="AO24" s="171"/>
      <c r="AP24" s="172"/>
      <c r="AQ24" s="282"/>
      <c r="AR24" s="486">
        <f t="shared" si="9"/>
        <v>781</v>
      </c>
      <c r="AS24" s="48">
        <v>487</v>
      </c>
      <c r="AT24" s="48"/>
      <c r="AU24" s="62"/>
      <c r="AV24" s="438">
        <f t="shared" si="25"/>
        <v>294</v>
      </c>
      <c r="AW24" s="438">
        <f t="shared" si="19"/>
        <v>16046</v>
      </c>
      <c r="AX24" s="48"/>
      <c r="AY24" s="173"/>
      <c r="AZ24" s="174">
        <v>781</v>
      </c>
      <c r="BA24" s="438">
        <f t="shared" si="10"/>
        <v>0</v>
      </c>
      <c r="BB24" s="438">
        <f t="shared" si="20"/>
        <v>0</v>
      </c>
      <c r="BC24" s="174"/>
      <c r="BD24" s="487">
        <f t="shared" si="21"/>
        <v>16046</v>
      </c>
      <c r="BE24" s="169"/>
      <c r="BF24" s="174">
        <f t="shared" si="22"/>
        <v>16046</v>
      </c>
      <c r="BG24" s="471">
        <f t="shared" si="23"/>
        <v>234171</v>
      </c>
      <c r="BH24" s="175"/>
      <c r="BI24" s="471"/>
      <c r="BJ24" s="283"/>
      <c r="BK24" s="478">
        <f t="shared" si="24"/>
        <v>234171</v>
      </c>
      <c r="BM24" s="466">
        <v>55</v>
      </c>
      <c r="BN24" s="467"/>
    </row>
    <row r="25" spans="1:66" s="165" customFormat="1" ht="15.75" customHeight="1">
      <c r="A25" s="474">
        <f>Доходи!A24</f>
        <v>11</v>
      </c>
      <c r="B25" s="475" t="str">
        <f>Доходи!B24</f>
        <v>с.Дуболугівка</v>
      </c>
      <c r="C25" s="340">
        <v>0</v>
      </c>
      <c r="D25" s="83">
        <v>0</v>
      </c>
      <c r="E25" s="328"/>
      <c r="F25" s="485">
        <f>Доходи!E24*1000</f>
        <v>339</v>
      </c>
      <c r="G25" s="20">
        <v>1</v>
      </c>
      <c r="H25" s="21">
        <v>3</v>
      </c>
      <c r="I25" s="61"/>
      <c r="J25" s="438">
        <f t="shared" si="11"/>
        <v>60159</v>
      </c>
      <c r="K25" s="62">
        <v>164909</v>
      </c>
      <c r="L25" s="63">
        <v>128900</v>
      </c>
      <c r="M25" s="334">
        <v>12</v>
      </c>
      <c r="N25" s="64">
        <v>-12</v>
      </c>
      <c r="O25" s="64"/>
      <c r="P25" s="440">
        <f t="shared" si="12"/>
        <v>0</v>
      </c>
      <c r="Q25" s="166"/>
      <c r="R25" s="176"/>
      <c r="S25" s="48"/>
      <c r="T25" s="438">
        <f t="shared" si="13"/>
        <v>0</v>
      </c>
      <c r="U25" s="183">
        <f t="shared" si="14"/>
        <v>0</v>
      </c>
      <c r="V25" s="438">
        <f t="shared" si="15"/>
        <v>0</v>
      </c>
      <c r="W25" s="476">
        <f t="shared" si="16"/>
        <v>0</v>
      </c>
      <c r="X25" s="528"/>
      <c r="Y25" s="48"/>
      <c r="Z25" s="168"/>
      <c r="AA25" s="48"/>
      <c r="AB25" s="48"/>
      <c r="AC25" s="168"/>
      <c r="AD25" s="438">
        <f t="shared" si="17"/>
        <v>0</v>
      </c>
      <c r="AE25" s="476">
        <f t="shared" si="18"/>
        <v>0</v>
      </c>
      <c r="AF25" s="180"/>
      <c r="AG25" s="169"/>
      <c r="AH25" s="169"/>
      <c r="AI25" s="169"/>
      <c r="AJ25" s="169"/>
      <c r="AK25" s="170"/>
      <c r="AL25" s="169"/>
      <c r="AM25" s="169"/>
      <c r="AN25" s="169"/>
      <c r="AO25" s="171"/>
      <c r="AP25" s="172"/>
      <c r="AQ25" s="282"/>
      <c r="AR25" s="486">
        <f t="shared" si="9"/>
        <v>339</v>
      </c>
      <c r="AS25" s="48"/>
      <c r="AT25" s="48"/>
      <c r="AU25" s="62"/>
      <c r="AV25" s="438">
        <f t="shared" si="25"/>
        <v>339</v>
      </c>
      <c r="AW25" s="438">
        <f t="shared" si="19"/>
        <v>18502</v>
      </c>
      <c r="AX25" s="48"/>
      <c r="AY25" s="173"/>
      <c r="AZ25" s="174">
        <v>339</v>
      </c>
      <c r="BA25" s="438">
        <f t="shared" si="10"/>
        <v>0</v>
      </c>
      <c r="BB25" s="438">
        <f t="shared" si="20"/>
        <v>0</v>
      </c>
      <c r="BC25" s="174"/>
      <c r="BD25" s="487">
        <f t="shared" si="21"/>
        <v>18502</v>
      </c>
      <c r="BE25" s="169"/>
      <c r="BF25" s="174">
        <f t="shared" si="22"/>
        <v>18502</v>
      </c>
      <c r="BG25" s="471">
        <f t="shared" si="23"/>
        <v>78661</v>
      </c>
      <c r="BH25" s="175"/>
      <c r="BI25" s="471"/>
      <c r="BJ25" s="283"/>
      <c r="BK25" s="478">
        <f t="shared" si="24"/>
        <v>78661</v>
      </c>
      <c r="BM25" s="466"/>
      <c r="BN25" s="467"/>
    </row>
    <row r="26" spans="1:66" s="165" customFormat="1" ht="15.75" customHeight="1">
      <c r="A26" s="474">
        <f>Доходи!A25</f>
        <v>12</v>
      </c>
      <c r="B26" s="475" t="str">
        <f>Доходи!B25</f>
        <v>с.Заньки</v>
      </c>
      <c r="C26" s="340">
        <v>0</v>
      </c>
      <c r="D26" s="83">
        <v>0</v>
      </c>
      <c r="E26" s="328"/>
      <c r="F26" s="485">
        <f>Доходи!E25*1000</f>
        <v>260</v>
      </c>
      <c r="G26" s="20">
        <v>1</v>
      </c>
      <c r="H26" s="21">
        <v>3</v>
      </c>
      <c r="I26" s="61"/>
      <c r="J26" s="438">
        <f t="shared" si="11"/>
        <v>56105</v>
      </c>
      <c r="K26" s="62">
        <v>201251</v>
      </c>
      <c r="L26" s="63">
        <v>157100</v>
      </c>
      <c r="M26" s="334">
        <v>9</v>
      </c>
      <c r="N26" s="64">
        <v>-9</v>
      </c>
      <c r="O26" s="64"/>
      <c r="P26" s="440">
        <f t="shared" si="12"/>
        <v>0</v>
      </c>
      <c r="Q26" s="166"/>
      <c r="R26" s="176"/>
      <c r="S26" s="48"/>
      <c r="T26" s="438">
        <f t="shared" si="13"/>
        <v>0</v>
      </c>
      <c r="U26" s="183">
        <f t="shared" si="14"/>
        <v>0</v>
      </c>
      <c r="V26" s="438">
        <f t="shared" si="15"/>
        <v>0</v>
      </c>
      <c r="W26" s="476">
        <f t="shared" si="16"/>
        <v>0</v>
      </c>
      <c r="X26" s="528"/>
      <c r="Y26" s="48"/>
      <c r="Z26" s="168"/>
      <c r="AA26" s="48"/>
      <c r="AB26" s="48"/>
      <c r="AC26" s="168"/>
      <c r="AD26" s="438">
        <f t="shared" si="17"/>
        <v>0</v>
      </c>
      <c r="AE26" s="476">
        <f t="shared" si="18"/>
        <v>0</v>
      </c>
      <c r="AF26" s="180"/>
      <c r="AG26" s="169"/>
      <c r="AH26" s="169"/>
      <c r="AI26" s="169"/>
      <c r="AJ26" s="169"/>
      <c r="AK26" s="170"/>
      <c r="AL26" s="169"/>
      <c r="AM26" s="169"/>
      <c r="AN26" s="169"/>
      <c r="AO26" s="171"/>
      <c r="AP26" s="172"/>
      <c r="AQ26" s="282"/>
      <c r="AR26" s="486">
        <f t="shared" si="9"/>
        <v>260</v>
      </c>
      <c r="AS26" s="48"/>
      <c r="AT26" s="48"/>
      <c r="AU26" s="62"/>
      <c r="AV26" s="438">
        <f t="shared" si="25"/>
        <v>260</v>
      </c>
      <c r="AW26" s="438">
        <f t="shared" si="19"/>
        <v>14190</v>
      </c>
      <c r="AX26" s="48"/>
      <c r="AY26" s="173"/>
      <c r="AZ26" s="174">
        <v>260</v>
      </c>
      <c r="BA26" s="438">
        <f t="shared" si="10"/>
        <v>0</v>
      </c>
      <c r="BB26" s="438">
        <f t="shared" si="20"/>
        <v>0</v>
      </c>
      <c r="BC26" s="174"/>
      <c r="BD26" s="487">
        <f t="shared" si="21"/>
        <v>14190</v>
      </c>
      <c r="BE26" s="169"/>
      <c r="BF26" s="174">
        <f t="shared" si="22"/>
        <v>14190</v>
      </c>
      <c r="BG26" s="471">
        <f t="shared" si="23"/>
        <v>70295</v>
      </c>
      <c r="BH26" s="175"/>
      <c r="BI26" s="471"/>
      <c r="BJ26" s="283"/>
      <c r="BK26" s="478">
        <f t="shared" si="24"/>
        <v>70295</v>
      </c>
      <c r="BM26" s="466"/>
      <c r="BN26" s="467"/>
    </row>
    <row r="27" spans="1:66" s="165" customFormat="1" ht="15.75" customHeight="1">
      <c r="A27" s="474">
        <f>Доходи!A26</f>
        <v>13</v>
      </c>
      <c r="B27" s="475" t="str">
        <f>Доходи!B26</f>
        <v>с.Колісники</v>
      </c>
      <c r="C27" s="340">
        <v>0</v>
      </c>
      <c r="D27" s="83">
        <v>0</v>
      </c>
      <c r="E27" s="328"/>
      <c r="F27" s="485">
        <f>Доходи!E26*1000</f>
        <v>721</v>
      </c>
      <c r="G27" s="20">
        <v>2</v>
      </c>
      <c r="H27" s="21">
        <v>3</v>
      </c>
      <c r="I27" s="61"/>
      <c r="J27" s="438">
        <f t="shared" si="11"/>
        <v>79765</v>
      </c>
      <c r="K27" s="62">
        <v>218970</v>
      </c>
      <c r="L27" s="63">
        <v>154100</v>
      </c>
      <c r="M27" s="334">
        <v>24</v>
      </c>
      <c r="N27" s="64">
        <v>-24</v>
      </c>
      <c r="O27" s="64"/>
      <c r="P27" s="440">
        <f t="shared" si="12"/>
        <v>0</v>
      </c>
      <c r="Q27" s="166"/>
      <c r="R27" s="176"/>
      <c r="S27" s="48"/>
      <c r="T27" s="438">
        <f t="shared" si="13"/>
        <v>0</v>
      </c>
      <c r="U27" s="183">
        <f t="shared" si="14"/>
        <v>0</v>
      </c>
      <c r="V27" s="438">
        <f t="shared" si="15"/>
        <v>0</v>
      </c>
      <c r="W27" s="476">
        <f t="shared" si="16"/>
        <v>0</v>
      </c>
      <c r="X27" s="528"/>
      <c r="Y27" s="48"/>
      <c r="Z27" s="168"/>
      <c r="AA27" s="48"/>
      <c r="AB27" s="48"/>
      <c r="AC27" s="168"/>
      <c r="AD27" s="438">
        <f t="shared" si="17"/>
        <v>0</v>
      </c>
      <c r="AE27" s="476">
        <f t="shared" si="18"/>
        <v>0</v>
      </c>
      <c r="AF27" s="180"/>
      <c r="AG27" s="177"/>
      <c r="AH27" s="169"/>
      <c r="AI27" s="169"/>
      <c r="AJ27" s="169"/>
      <c r="AK27" s="170"/>
      <c r="AL27" s="169"/>
      <c r="AM27" s="169"/>
      <c r="AN27" s="169"/>
      <c r="AO27" s="171"/>
      <c r="AP27" s="172"/>
      <c r="AQ27" s="282"/>
      <c r="AR27" s="486">
        <f t="shared" si="9"/>
        <v>721</v>
      </c>
      <c r="AS27" s="48">
        <v>435</v>
      </c>
      <c r="AT27" s="48"/>
      <c r="AU27" s="62"/>
      <c r="AV27" s="438">
        <f t="shared" si="25"/>
        <v>286</v>
      </c>
      <c r="AW27" s="438">
        <f t="shared" si="19"/>
        <v>15609</v>
      </c>
      <c r="AX27" s="48"/>
      <c r="AY27" s="173"/>
      <c r="AZ27" s="174">
        <v>721</v>
      </c>
      <c r="BA27" s="438">
        <f t="shared" si="10"/>
        <v>0</v>
      </c>
      <c r="BB27" s="438">
        <f t="shared" si="20"/>
        <v>0</v>
      </c>
      <c r="BC27" s="174"/>
      <c r="BD27" s="487">
        <f t="shared" si="21"/>
        <v>15609</v>
      </c>
      <c r="BE27" s="169"/>
      <c r="BF27" s="174">
        <f t="shared" si="22"/>
        <v>15609</v>
      </c>
      <c r="BG27" s="471">
        <f t="shared" si="23"/>
        <v>95374</v>
      </c>
      <c r="BH27" s="175"/>
      <c r="BI27" s="471"/>
      <c r="BJ27" s="283"/>
      <c r="BK27" s="478">
        <f t="shared" si="24"/>
        <v>95374</v>
      </c>
      <c r="BM27" s="466"/>
      <c r="BN27" s="467"/>
    </row>
    <row r="28" spans="1:66" s="165" customFormat="1" ht="15.75" customHeight="1">
      <c r="A28" s="474">
        <f>Доходи!A27</f>
        <v>14</v>
      </c>
      <c r="B28" s="475" t="str">
        <f>Доходи!B27</f>
        <v>с.Крути</v>
      </c>
      <c r="C28" s="340">
        <v>0</v>
      </c>
      <c r="D28" s="83">
        <v>0</v>
      </c>
      <c r="E28" s="328"/>
      <c r="F28" s="485">
        <f>Доходи!E27*1000</f>
        <v>1325</v>
      </c>
      <c r="G28" s="20">
        <v>4</v>
      </c>
      <c r="H28" s="21">
        <v>3</v>
      </c>
      <c r="I28" s="61"/>
      <c r="J28" s="438">
        <f t="shared" si="11"/>
        <v>110763</v>
      </c>
      <c r="K28" s="62">
        <v>212916</v>
      </c>
      <c r="L28" s="63">
        <v>158760</v>
      </c>
      <c r="M28" s="334">
        <v>68</v>
      </c>
      <c r="N28" s="64">
        <v>46</v>
      </c>
      <c r="O28" s="64"/>
      <c r="P28" s="440">
        <f t="shared" si="12"/>
        <v>114</v>
      </c>
      <c r="Q28" s="166">
        <v>2</v>
      </c>
      <c r="R28" s="176"/>
      <c r="S28" s="48">
        <v>30</v>
      </c>
      <c r="T28" s="438">
        <f t="shared" si="13"/>
        <v>274502</v>
      </c>
      <c r="U28" s="183">
        <f t="shared" si="14"/>
        <v>3418.834490523815</v>
      </c>
      <c r="V28" s="438">
        <f t="shared" si="15"/>
        <v>0</v>
      </c>
      <c r="W28" s="476">
        <f t="shared" si="16"/>
        <v>271083</v>
      </c>
      <c r="X28" s="528"/>
      <c r="Y28" s="48"/>
      <c r="Z28" s="168"/>
      <c r="AA28" s="48"/>
      <c r="AB28" s="48"/>
      <c r="AC28" s="168"/>
      <c r="AD28" s="438">
        <f t="shared" si="17"/>
        <v>0</v>
      </c>
      <c r="AE28" s="476">
        <f t="shared" si="18"/>
        <v>274502</v>
      </c>
      <c r="AF28" s="180"/>
      <c r="AG28" s="169"/>
      <c r="AH28" s="169"/>
      <c r="AI28" s="169"/>
      <c r="AJ28" s="169"/>
      <c r="AK28" s="170"/>
      <c r="AL28" s="169"/>
      <c r="AM28" s="169"/>
      <c r="AN28" s="169"/>
      <c r="AO28" s="171"/>
      <c r="AP28" s="172"/>
      <c r="AQ28" s="282"/>
      <c r="AR28" s="486">
        <f t="shared" si="9"/>
        <v>1325</v>
      </c>
      <c r="AS28" s="48"/>
      <c r="AT28" s="48"/>
      <c r="AU28" s="62"/>
      <c r="AV28" s="438">
        <f t="shared" si="25"/>
        <v>1325</v>
      </c>
      <c r="AW28" s="438">
        <f t="shared" si="19"/>
        <v>72314</v>
      </c>
      <c r="AX28" s="48"/>
      <c r="AY28" s="173"/>
      <c r="AZ28" s="174">
        <v>1325</v>
      </c>
      <c r="BA28" s="438">
        <f t="shared" si="10"/>
        <v>0</v>
      </c>
      <c r="BB28" s="438">
        <f t="shared" si="20"/>
        <v>0</v>
      </c>
      <c r="BC28" s="174"/>
      <c r="BD28" s="487">
        <f t="shared" si="21"/>
        <v>72314</v>
      </c>
      <c r="BE28" s="169"/>
      <c r="BF28" s="174">
        <f t="shared" si="22"/>
        <v>72314</v>
      </c>
      <c r="BG28" s="471">
        <f t="shared" si="23"/>
        <v>457579</v>
      </c>
      <c r="BH28" s="175"/>
      <c r="BI28" s="471"/>
      <c r="BJ28" s="283"/>
      <c r="BK28" s="478">
        <f t="shared" si="24"/>
        <v>457579</v>
      </c>
      <c r="BM28" s="466">
        <v>114</v>
      </c>
      <c r="BN28" s="467"/>
    </row>
    <row r="29" spans="1:66" s="165" customFormat="1" ht="15.75" customHeight="1">
      <c r="A29" s="474">
        <f>Доходи!A28</f>
        <v>15</v>
      </c>
      <c r="B29" s="475" t="str">
        <f>Доходи!B28</f>
        <v>с.Кукшин</v>
      </c>
      <c r="C29" s="340">
        <v>0</v>
      </c>
      <c r="D29" s="83">
        <v>0</v>
      </c>
      <c r="E29" s="328"/>
      <c r="F29" s="485">
        <f>Доходи!E28*1000</f>
        <v>681</v>
      </c>
      <c r="G29" s="20">
        <v>2</v>
      </c>
      <c r="H29" s="21">
        <v>5.5</v>
      </c>
      <c r="I29" s="61"/>
      <c r="J29" s="438">
        <f t="shared" si="11"/>
        <v>113346</v>
      </c>
      <c r="K29" s="62">
        <v>181450</v>
      </c>
      <c r="L29" s="63">
        <v>132790</v>
      </c>
      <c r="M29" s="334">
        <v>26</v>
      </c>
      <c r="N29" s="64">
        <v>-26</v>
      </c>
      <c r="O29" s="64"/>
      <c r="P29" s="440">
        <f t="shared" si="12"/>
        <v>0</v>
      </c>
      <c r="Q29" s="166"/>
      <c r="R29" s="176"/>
      <c r="S29" s="48"/>
      <c r="T29" s="438">
        <f t="shared" si="13"/>
        <v>0</v>
      </c>
      <c r="U29" s="183">
        <f t="shared" si="14"/>
        <v>0</v>
      </c>
      <c r="V29" s="438">
        <f t="shared" si="15"/>
        <v>0</v>
      </c>
      <c r="W29" s="476">
        <f t="shared" si="16"/>
        <v>0</v>
      </c>
      <c r="X29" s="528"/>
      <c r="Y29" s="48"/>
      <c r="Z29" s="168"/>
      <c r="AA29" s="48"/>
      <c r="AB29" s="48"/>
      <c r="AC29" s="168"/>
      <c r="AD29" s="438">
        <f t="shared" si="17"/>
        <v>0</v>
      </c>
      <c r="AE29" s="476">
        <f t="shared" si="18"/>
        <v>0</v>
      </c>
      <c r="AF29" s="180"/>
      <c r="AG29" s="169"/>
      <c r="AH29" s="169"/>
      <c r="AI29" s="169"/>
      <c r="AJ29" s="169"/>
      <c r="AK29" s="170"/>
      <c r="AL29" s="169"/>
      <c r="AM29" s="169"/>
      <c r="AN29" s="169"/>
      <c r="AO29" s="171"/>
      <c r="AP29" s="172"/>
      <c r="AQ29" s="282"/>
      <c r="AR29" s="486">
        <f t="shared" si="9"/>
        <v>681</v>
      </c>
      <c r="AS29" s="48"/>
      <c r="AT29" s="48"/>
      <c r="AU29" s="62"/>
      <c r="AV29" s="438">
        <f t="shared" si="25"/>
        <v>681</v>
      </c>
      <c r="AW29" s="438">
        <f t="shared" si="19"/>
        <v>37167</v>
      </c>
      <c r="AX29" s="48"/>
      <c r="AY29" s="173"/>
      <c r="AZ29" s="174">
        <v>681</v>
      </c>
      <c r="BA29" s="438">
        <f t="shared" si="10"/>
        <v>0</v>
      </c>
      <c r="BB29" s="438">
        <f t="shared" si="20"/>
        <v>0</v>
      </c>
      <c r="BC29" s="174"/>
      <c r="BD29" s="487">
        <f t="shared" si="21"/>
        <v>37167</v>
      </c>
      <c r="BE29" s="169"/>
      <c r="BF29" s="174">
        <f t="shared" si="22"/>
        <v>37167</v>
      </c>
      <c r="BG29" s="471">
        <f t="shared" si="23"/>
        <v>150513</v>
      </c>
      <c r="BH29" s="175"/>
      <c r="BI29" s="471"/>
      <c r="BJ29" s="283"/>
      <c r="BK29" s="478">
        <f t="shared" si="24"/>
        <v>150513</v>
      </c>
      <c r="BM29" s="466"/>
      <c r="BN29" s="467"/>
    </row>
    <row r="30" spans="1:66" s="165" customFormat="1" ht="15.75" customHeight="1">
      <c r="A30" s="474">
        <f>Доходи!A29</f>
        <v>16</v>
      </c>
      <c r="B30" s="475" t="str">
        <f>Доходи!B29</f>
        <v>с.Кунашівка</v>
      </c>
      <c r="C30" s="340">
        <v>0</v>
      </c>
      <c r="D30" s="83">
        <v>0</v>
      </c>
      <c r="E30" s="328"/>
      <c r="F30" s="485">
        <f>Доходи!E29*1000</f>
        <v>510</v>
      </c>
      <c r="G30" s="20">
        <v>3</v>
      </c>
      <c r="H30" s="21">
        <v>3</v>
      </c>
      <c r="I30" s="61"/>
      <c r="J30" s="438">
        <f t="shared" si="11"/>
        <v>68936</v>
      </c>
      <c r="K30" s="62">
        <v>238670</v>
      </c>
      <c r="L30" s="63">
        <v>194350</v>
      </c>
      <c r="M30" s="334">
        <v>20</v>
      </c>
      <c r="N30" s="64">
        <v>25</v>
      </c>
      <c r="O30" s="64">
        <v>-45</v>
      </c>
      <c r="P30" s="440">
        <f t="shared" si="12"/>
        <v>0</v>
      </c>
      <c r="Q30" s="166"/>
      <c r="R30" s="176">
        <v>1</v>
      </c>
      <c r="S30" s="48"/>
      <c r="T30" s="438">
        <f t="shared" si="13"/>
        <v>0</v>
      </c>
      <c r="U30" s="183">
        <f t="shared" si="14"/>
        <v>0</v>
      </c>
      <c r="V30" s="438">
        <f t="shared" si="15"/>
        <v>0</v>
      </c>
      <c r="W30" s="476">
        <f t="shared" si="16"/>
        <v>0</v>
      </c>
      <c r="X30" s="528"/>
      <c r="Y30" s="48"/>
      <c r="Z30" s="178"/>
      <c r="AA30" s="48"/>
      <c r="AB30" s="48"/>
      <c r="AC30" s="168"/>
      <c r="AD30" s="438">
        <f t="shared" si="17"/>
        <v>0</v>
      </c>
      <c r="AE30" s="476">
        <f t="shared" si="18"/>
        <v>0</v>
      </c>
      <c r="AF30" s="180"/>
      <c r="AG30" s="169"/>
      <c r="AH30" s="169"/>
      <c r="AI30" s="169"/>
      <c r="AJ30" s="169"/>
      <c r="AK30" s="170"/>
      <c r="AL30" s="169"/>
      <c r="AM30" s="169"/>
      <c r="AN30" s="169"/>
      <c r="AO30" s="171"/>
      <c r="AP30" s="172"/>
      <c r="AQ30" s="282"/>
      <c r="AR30" s="486">
        <f t="shared" si="9"/>
        <v>510</v>
      </c>
      <c r="AS30" s="48"/>
      <c r="AT30" s="48">
        <v>1130</v>
      </c>
      <c r="AU30" s="62"/>
      <c r="AV30" s="438">
        <f t="shared" si="25"/>
        <v>1640</v>
      </c>
      <c r="AW30" s="438">
        <f t="shared" si="19"/>
        <v>89506</v>
      </c>
      <c r="AX30" s="48"/>
      <c r="AY30" s="173"/>
      <c r="AZ30" s="174">
        <v>510</v>
      </c>
      <c r="BA30" s="438">
        <f t="shared" si="10"/>
        <v>0</v>
      </c>
      <c r="BB30" s="438">
        <f t="shared" si="20"/>
        <v>0</v>
      </c>
      <c r="BC30" s="174"/>
      <c r="BD30" s="487">
        <f t="shared" si="21"/>
        <v>89506</v>
      </c>
      <c r="BE30" s="169"/>
      <c r="BF30" s="174">
        <f t="shared" si="22"/>
        <v>89506</v>
      </c>
      <c r="BG30" s="471">
        <f t="shared" si="23"/>
        <v>158442</v>
      </c>
      <c r="BH30" s="175"/>
      <c r="BI30" s="471"/>
      <c r="BJ30" s="283"/>
      <c r="BK30" s="478">
        <f t="shared" si="24"/>
        <v>158442</v>
      </c>
      <c r="BM30" s="466"/>
      <c r="BN30" s="467"/>
    </row>
    <row r="31" spans="1:66" s="165" customFormat="1" ht="15.75" customHeight="1">
      <c r="A31" s="474">
        <f>Доходи!A30</f>
        <v>17</v>
      </c>
      <c r="B31" s="475" t="str">
        <f>Доходи!B30</f>
        <v>с.Липів Ріг</v>
      </c>
      <c r="C31" s="340">
        <v>0</v>
      </c>
      <c r="D31" s="83">
        <v>0</v>
      </c>
      <c r="E31" s="328"/>
      <c r="F31" s="485">
        <f>Доходи!E30*1000</f>
        <v>808</v>
      </c>
      <c r="G31" s="20">
        <v>1</v>
      </c>
      <c r="H31" s="21">
        <v>3</v>
      </c>
      <c r="I31" s="61"/>
      <c r="J31" s="438">
        <f t="shared" si="11"/>
        <v>84230</v>
      </c>
      <c r="K31" s="62">
        <v>214716</v>
      </c>
      <c r="L31" s="63">
        <v>157210</v>
      </c>
      <c r="M31" s="334">
        <v>56</v>
      </c>
      <c r="N31" s="64"/>
      <c r="O31" s="64"/>
      <c r="P31" s="440">
        <f t="shared" si="12"/>
        <v>56</v>
      </c>
      <c r="Q31" s="166"/>
      <c r="R31" s="167"/>
      <c r="S31" s="48"/>
      <c r="T31" s="438">
        <f t="shared" si="13"/>
        <v>55159</v>
      </c>
      <c r="U31" s="183">
        <f t="shared" si="14"/>
        <v>1679.4274690292423</v>
      </c>
      <c r="V31" s="438">
        <f t="shared" si="15"/>
        <v>0</v>
      </c>
      <c r="W31" s="476">
        <f t="shared" si="16"/>
        <v>53480</v>
      </c>
      <c r="X31" s="528"/>
      <c r="Y31" s="48"/>
      <c r="Z31" s="168"/>
      <c r="AA31" s="48"/>
      <c r="AB31" s="48"/>
      <c r="AC31" s="168"/>
      <c r="AD31" s="438">
        <f t="shared" si="17"/>
        <v>0</v>
      </c>
      <c r="AE31" s="476">
        <f t="shared" si="18"/>
        <v>55159</v>
      </c>
      <c r="AF31" s="180"/>
      <c r="AG31" s="169"/>
      <c r="AH31" s="169"/>
      <c r="AI31" s="169"/>
      <c r="AJ31" s="169"/>
      <c r="AK31" s="170"/>
      <c r="AL31" s="169"/>
      <c r="AM31" s="169"/>
      <c r="AN31" s="169"/>
      <c r="AO31" s="171"/>
      <c r="AP31" s="172"/>
      <c r="AQ31" s="282"/>
      <c r="AR31" s="486">
        <f t="shared" si="9"/>
        <v>808</v>
      </c>
      <c r="AS31" s="48"/>
      <c r="AT31" s="48"/>
      <c r="AU31" s="62"/>
      <c r="AV31" s="438">
        <f t="shared" si="25"/>
        <v>808</v>
      </c>
      <c r="AW31" s="438">
        <f t="shared" si="19"/>
        <v>44098</v>
      </c>
      <c r="AX31" s="48"/>
      <c r="AY31" s="173"/>
      <c r="AZ31" s="174">
        <v>808</v>
      </c>
      <c r="BA31" s="438">
        <f t="shared" si="10"/>
        <v>0</v>
      </c>
      <c r="BB31" s="438">
        <f t="shared" si="20"/>
        <v>0</v>
      </c>
      <c r="BC31" s="174"/>
      <c r="BD31" s="487">
        <f t="shared" si="21"/>
        <v>44098</v>
      </c>
      <c r="BE31" s="169"/>
      <c r="BF31" s="174">
        <f t="shared" si="22"/>
        <v>44098</v>
      </c>
      <c r="BG31" s="471">
        <f t="shared" si="23"/>
        <v>183487</v>
      </c>
      <c r="BH31" s="175"/>
      <c r="BI31" s="471"/>
      <c r="BJ31" s="283"/>
      <c r="BK31" s="478">
        <f t="shared" si="24"/>
        <v>183487</v>
      </c>
      <c r="BM31" s="466">
        <v>56</v>
      </c>
      <c r="BN31" s="467"/>
    </row>
    <row r="32" spans="1:66" s="165" customFormat="1" ht="15.75" customHeight="1">
      <c r="A32" s="474">
        <f>Доходи!A31</f>
        <v>18</v>
      </c>
      <c r="B32" s="475" t="str">
        <f>Доходи!B31</f>
        <v>с.Мала Кошелівка</v>
      </c>
      <c r="C32" s="340">
        <v>0</v>
      </c>
      <c r="D32" s="83">
        <v>0</v>
      </c>
      <c r="E32" s="328"/>
      <c r="F32" s="485">
        <f>Доходи!E31*1000</f>
        <v>390</v>
      </c>
      <c r="G32" s="20">
        <v>1</v>
      </c>
      <c r="H32" s="21">
        <v>3</v>
      </c>
      <c r="I32" s="61"/>
      <c r="J32" s="438">
        <f t="shared" si="11"/>
        <v>62777</v>
      </c>
      <c r="K32" s="62">
        <v>305542</v>
      </c>
      <c r="L32" s="63">
        <v>246642</v>
      </c>
      <c r="M32" s="334">
        <v>27</v>
      </c>
      <c r="N32" s="64">
        <v>-27</v>
      </c>
      <c r="O32" s="64"/>
      <c r="P32" s="440">
        <f t="shared" si="12"/>
        <v>0</v>
      </c>
      <c r="Q32" s="166"/>
      <c r="R32" s="167"/>
      <c r="S32" s="48"/>
      <c r="T32" s="438">
        <f t="shared" si="13"/>
        <v>0</v>
      </c>
      <c r="U32" s="183">
        <f t="shared" si="14"/>
        <v>0</v>
      </c>
      <c r="V32" s="438">
        <f t="shared" si="15"/>
        <v>0</v>
      </c>
      <c r="W32" s="476">
        <f t="shared" si="16"/>
        <v>0</v>
      </c>
      <c r="X32" s="528"/>
      <c r="Y32" s="48"/>
      <c r="Z32" s="168"/>
      <c r="AA32" s="48"/>
      <c r="AB32" s="48"/>
      <c r="AC32" s="168"/>
      <c r="AD32" s="438">
        <f t="shared" si="17"/>
        <v>0</v>
      </c>
      <c r="AE32" s="476">
        <f t="shared" si="18"/>
        <v>0</v>
      </c>
      <c r="AF32" s="180"/>
      <c r="AG32" s="169"/>
      <c r="AH32" s="169"/>
      <c r="AI32" s="169"/>
      <c r="AJ32" s="169"/>
      <c r="AK32" s="170"/>
      <c r="AL32" s="169"/>
      <c r="AM32" s="169"/>
      <c r="AN32" s="169"/>
      <c r="AO32" s="171"/>
      <c r="AP32" s="172"/>
      <c r="AQ32" s="282"/>
      <c r="AR32" s="486">
        <f t="shared" si="9"/>
        <v>390</v>
      </c>
      <c r="AS32" s="48"/>
      <c r="AT32" s="48">
        <v>1500</v>
      </c>
      <c r="AU32" s="62"/>
      <c r="AV32" s="438">
        <f t="shared" si="25"/>
        <v>1890</v>
      </c>
      <c r="AW32" s="438">
        <f t="shared" si="19"/>
        <v>103150</v>
      </c>
      <c r="AX32" s="48"/>
      <c r="AY32" s="173"/>
      <c r="AZ32" s="61">
        <v>390</v>
      </c>
      <c r="BA32" s="438">
        <f t="shared" si="10"/>
        <v>0</v>
      </c>
      <c r="BB32" s="438">
        <f t="shared" si="20"/>
        <v>0</v>
      </c>
      <c r="BC32" s="174"/>
      <c r="BD32" s="487">
        <f t="shared" si="21"/>
        <v>103150</v>
      </c>
      <c r="BE32" s="169"/>
      <c r="BF32" s="174">
        <f t="shared" si="22"/>
        <v>103150</v>
      </c>
      <c r="BG32" s="471">
        <f t="shared" si="23"/>
        <v>165927</v>
      </c>
      <c r="BH32" s="175"/>
      <c r="BI32" s="471"/>
      <c r="BJ32" s="283"/>
      <c r="BK32" s="478">
        <f t="shared" si="24"/>
        <v>165927</v>
      </c>
      <c r="BM32" s="466"/>
      <c r="BN32" s="467"/>
    </row>
    <row r="33" spans="1:66" s="165" customFormat="1" ht="15.75" customHeight="1">
      <c r="A33" s="474">
        <f>Доходи!A32</f>
        <v>19</v>
      </c>
      <c r="B33" s="475" t="str">
        <f>Доходи!B32</f>
        <v>с.Перебудова</v>
      </c>
      <c r="C33" s="340">
        <v>0</v>
      </c>
      <c r="D33" s="83">
        <v>0</v>
      </c>
      <c r="E33" s="328"/>
      <c r="F33" s="485">
        <f>Доходи!E32*1000</f>
        <v>504</v>
      </c>
      <c r="G33" s="20">
        <v>3</v>
      </c>
      <c r="H33" s="21">
        <v>3</v>
      </c>
      <c r="I33" s="61"/>
      <c r="J33" s="438">
        <f t="shared" si="11"/>
        <v>68628</v>
      </c>
      <c r="K33" s="62">
        <v>203427</v>
      </c>
      <c r="L33" s="63">
        <v>127720</v>
      </c>
      <c r="M33" s="334">
        <v>22</v>
      </c>
      <c r="N33" s="64">
        <v>-22</v>
      </c>
      <c r="O33" s="64"/>
      <c r="P33" s="440">
        <f t="shared" si="12"/>
        <v>0</v>
      </c>
      <c r="Q33" s="166"/>
      <c r="R33" s="167"/>
      <c r="S33" s="48"/>
      <c r="T33" s="438">
        <f t="shared" si="13"/>
        <v>0</v>
      </c>
      <c r="U33" s="183">
        <f t="shared" si="14"/>
        <v>0</v>
      </c>
      <c r="V33" s="438">
        <f t="shared" si="15"/>
        <v>0</v>
      </c>
      <c r="W33" s="476">
        <f t="shared" si="16"/>
        <v>0</v>
      </c>
      <c r="X33" s="528"/>
      <c r="Y33" s="48"/>
      <c r="Z33" s="168"/>
      <c r="AA33" s="48"/>
      <c r="AB33" s="48"/>
      <c r="AC33" s="168"/>
      <c r="AD33" s="438">
        <f t="shared" si="17"/>
        <v>0</v>
      </c>
      <c r="AE33" s="476">
        <f t="shared" si="18"/>
        <v>0</v>
      </c>
      <c r="AF33" s="180"/>
      <c r="AG33" s="169"/>
      <c r="AH33" s="169"/>
      <c r="AI33" s="169"/>
      <c r="AJ33" s="169"/>
      <c r="AK33" s="170"/>
      <c r="AL33" s="169"/>
      <c r="AM33" s="169"/>
      <c r="AN33" s="169"/>
      <c r="AO33" s="171"/>
      <c r="AP33" s="172"/>
      <c r="AQ33" s="282"/>
      <c r="AR33" s="486">
        <f t="shared" si="9"/>
        <v>504</v>
      </c>
      <c r="AS33" s="48"/>
      <c r="AT33" s="48"/>
      <c r="AU33" s="48"/>
      <c r="AV33" s="438">
        <f t="shared" si="25"/>
        <v>504</v>
      </c>
      <c r="AW33" s="438">
        <f t="shared" si="19"/>
        <v>27507</v>
      </c>
      <c r="AX33" s="48"/>
      <c r="AY33" s="173"/>
      <c r="AZ33" s="61">
        <v>504</v>
      </c>
      <c r="BA33" s="438">
        <f t="shared" si="10"/>
        <v>0</v>
      </c>
      <c r="BB33" s="438">
        <f t="shared" si="20"/>
        <v>0</v>
      </c>
      <c r="BC33" s="174"/>
      <c r="BD33" s="487">
        <f t="shared" si="21"/>
        <v>27507</v>
      </c>
      <c r="BE33" s="169"/>
      <c r="BF33" s="174">
        <f t="shared" si="22"/>
        <v>27507</v>
      </c>
      <c r="BG33" s="471">
        <f t="shared" si="23"/>
        <v>96135</v>
      </c>
      <c r="BH33" s="175"/>
      <c r="BI33" s="471"/>
      <c r="BJ33" s="283"/>
      <c r="BK33" s="478">
        <f t="shared" si="24"/>
        <v>96135</v>
      </c>
      <c r="BM33" s="466"/>
      <c r="BN33" s="467"/>
    </row>
    <row r="34" spans="1:66" s="165" customFormat="1" ht="15.75" customHeight="1">
      <c r="A34" s="474">
        <f>Доходи!A33</f>
        <v>20</v>
      </c>
      <c r="B34" s="475" t="str">
        <f>Доходи!B33</f>
        <v>с.Перемога</v>
      </c>
      <c r="C34" s="340">
        <v>0</v>
      </c>
      <c r="D34" s="83">
        <v>0</v>
      </c>
      <c r="E34" s="328"/>
      <c r="F34" s="485">
        <v>1388</v>
      </c>
      <c r="G34" s="20">
        <v>5</v>
      </c>
      <c r="H34" s="21">
        <v>3</v>
      </c>
      <c r="I34" s="61"/>
      <c r="J34" s="438">
        <f t="shared" si="11"/>
        <v>113997</v>
      </c>
      <c r="K34" s="62">
        <v>183208</v>
      </c>
      <c r="L34" s="63">
        <v>159000</v>
      </c>
      <c r="M34" s="334">
        <v>55</v>
      </c>
      <c r="N34" s="64">
        <v>13</v>
      </c>
      <c r="O34" s="64"/>
      <c r="P34" s="440">
        <f t="shared" si="12"/>
        <v>68</v>
      </c>
      <c r="Q34" s="166">
        <v>1</v>
      </c>
      <c r="R34" s="167"/>
      <c r="S34" s="48">
        <v>21</v>
      </c>
      <c r="T34" s="438">
        <f t="shared" si="13"/>
        <v>148086</v>
      </c>
      <c r="U34" s="183">
        <f t="shared" si="14"/>
        <v>2039.304783821223</v>
      </c>
      <c r="V34" s="438">
        <f t="shared" si="15"/>
        <v>0</v>
      </c>
      <c r="W34" s="476">
        <f t="shared" si="16"/>
        <v>146047</v>
      </c>
      <c r="X34" s="528"/>
      <c r="Y34" s="48"/>
      <c r="Z34" s="168"/>
      <c r="AA34" s="48"/>
      <c r="AB34" s="48"/>
      <c r="AC34" s="168"/>
      <c r="AD34" s="438">
        <f t="shared" si="17"/>
        <v>0</v>
      </c>
      <c r="AE34" s="476">
        <f t="shared" si="18"/>
        <v>148086</v>
      </c>
      <c r="AF34" s="180"/>
      <c r="AG34" s="169"/>
      <c r="AH34" s="169"/>
      <c r="AI34" s="169"/>
      <c r="AJ34" s="169"/>
      <c r="AK34" s="170"/>
      <c r="AL34" s="169"/>
      <c r="AM34" s="169"/>
      <c r="AN34" s="169"/>
      <c r="AO34" s="171"/>
      <c r="AP34" s="172"/>
      <c r="AQ34" s="282"/>
      <c r="AR34" s="486">
        <f t="shared" si="9"/>
        <v>1388</v>
      </c>
      <c r="AS34" s="48">
        <v>270</v>
      </c>
      <c r="AT34" s="48"/>
      <c r="AU34" s="48"/>
      <c r="AV34" s="438">
        <f t="shared" si="25"/>
        <v>1118</v>
      </c>
      <c r="AW34" s="438">
        <f t="shared" si="19"/>
        <v>61017</v>
      </c>
      <c r="AX34" s="48"/>
      <c r="AY34" s="173"/>
      <c r="AZ34" s="61">
        <v>1388</v>
      </c>
      <c r="BA34" s="438">
        <f t="shared" si="10"/>
        <v>0</v>
      </c>
      <c r="BB34" s="438">
        <f t="shared" si="20"/>
        <v>0</v>
      </c>
      <c r="BC34" s="174"/>
      <c r="BD34" s="487">
        <f t="shared" si="21"/>
        <v>61017</v>
      </c>
      <c r="BE34" s="169"/>
      <c r="BF34" s="174">
        <f t="shared" si="22"/>
        <v>61017</v>
      </c>
      <c r="BG34" s="471">
        <f t="shared" si="23"/>
        <v>323100</v>
      </c>
      <c r="BH34" s="175"/>
      <c r="BI34" s="471"/>
      <c r="BJ34" s="283"/>
      <c r="BK34" s="478">
        <f t="shared" si="24"/>
        <v>323100</v>
      </c>
      <c r="BM34" s="466">
        <v>68</v>
      </c>
      <c r="BN34" s="467"/>
    </row>
    <row r="35" spans="1:66" s="165" customFormat="1" ht="15.75" customHeight="1">
      <c r="A35" s="474">
        <f>Доходи!A34</f>
        <v>21</v>
      </c>
      <c r="B35" s="475" t="str">
        <f>Доходи!B34</f>
        <v>с.Переяслівка</v>
      </c>
      <c r="C35" s="340">
        <v>0</v>
      </c>
      <c r="D35" s="83">
        <v>0</v>
      </c>
      <c r="E35" s="328"/>
      <c r="F35" s="485">
        <f>Доходи!E34*1000</f>
        <v>345</v>
      </c>
      <c r="G35" s="20">
        <v>1</v>
      </c>
      <c r="H35" s="21">
        <v>3</v>
      </c>
      <c r="I35" s="61"/>
      <c r="J35" s="438">
        <f t="shared" si="11"/>
        <v>60467</v>
      </c>
      <c r="K35" s="62">
        <v>142521</v>
      </c>
      <c r="L35" s="63">
        <v>117800</v>
      </c>
      <c r="M35" s="334">
        <v>20</v>
      </c>
      <c r="N35" s="64">
        <v>-20</v>
      </c>
      <c r="O35" s="64"/>
      <c r="P35" s="440">
        <f>M35+N35+O35</f>
        <v>0</v>
      </c>
      <c r="Q35" s="166"/>
      <c r="R35" s="167"/>
      <c r="S35" s="48"/>
      <c r="T35" s="438">
        <f t="shared" si="13"/>
        <v>0</v>
      </c>
      <c r="U35" s="183">
        <f t="shared" si="14"/>
        <v>0</v>
      </c>
      <c r="V35" s="438">
        <f t="shared" si="15"/>
        <v>0</v>
      </c>
      <c r="W35" s="476">
        <f t="shared" si="16"/>
        <v>0</v>
      </c>
      <c r="X35" s="527"/>
      <c r="Y35" s="48"/>
      <c r="Z35" s="168"/>
      <c r="AA35" s="48"/>
      <c r="AB35" s="48"/>
      <c r="AC35" s="168"/>
      <c r="AD35" s="438">
        <f t="shared" si="17"/>
        <v>0</v>
      </c>
      <c r="AE35" s="476">
        <f t="shared" si="18"/>
        <v>0</v>
      </c>
      <c r="AF35" s="180"/>
      <c r="AG35" s="169"/>
      <c r="AH35" s="169"/>
      <c r="AI35" s="169"/>
      <c r="AJ35" s="169"/>
      <c r="AK35" s="170"/>
      <c r="AL35" s="169"/>
      <c r="AM35" s="169"/>
      <c r="AN35" s="169"/>
      <c r="AO35" s="169"/>
      <c r="AP35" s="179"/>
      <c r="AQ35" s="282"/>
      <c r="AR35" s="486">
        <f t="shared" si="9"/>
        <v>345</v>
      </c>
      <c r="AS35" s="48"/>
      <c r="AT35" s="48"/>
      <c r="AU35" s="48"/>
      <c r="AV35" s="438">
        <f t="shared" si="25"/>
        <v>345</v>
      </c>
      <c r="AW35" s="438">
        <f t="shared" si="19"/>
        <v>18829</v>
      </c>
      <c r="AX35" s="48"/>
      <c r="AY35" s="173"/>
      <c r="AZ35" s="61">
        <v>345</v>
      </c>
      <c r="BA35" s="438">
        <f t="shared" si="10"/>
        <v>0</v>
      </c>
      <c r="BB35" s="438">
        <f t="shared" si="20"/>
        <v>0</v>
      </c>
      <c r="BC35" s="174"/>
      <c r="BD35" s="487">
        <f t="shared" si="21"/>
        <v>18829</v>
      </c>
      <c r="BE35" s="169"/>
      <c r="BF35" s="174">
        <f t="shared" si="22"/>
        <v>18829</v>
      </c>
      <c r="BG35" s="471">
        <f t="shared" si="23"/>
        <v>79296</v>
      </c>
      <c r="BH35" s="175"/>
      <c r="BI35" s="471"/>
      <c r="BJ35" s="283"/>
      <c r="BK35" s="478">
        <f t="shared" si="24"/>
        <v>79296</v>
      </c>
      <c r="BM35" s="466"/>
      <c r="BN35" s="467"/>
    </row>
    <row r="36" spans="1:66" s="165" customFormat="1" ht="15.75" customHeight="1">
      <c r="A36" s="474">
        <f>Доходи!A35</f>
        <v>22</v>
      </c>
      <c r="B36" s="475" t="str">
        <f>Доходи!B35</f>
        <v>с.Сальне</v>
      </c>
      <c r="C36" s="340">
        <v>0</v>
      </c>
      <c r="D36" s="83">
        <v>0</v>
      </c>
      <c r="E36" s="328"/>
      <c r="F36" s="485">
        <f>Доходи!E35*1000</f>
        <v>642</v>
      </c>
      <c r="G36" s="20">
        <v>2</v>
      </c>
      <c r="H36" s="21">
        <v>3</v>
      </c>
      <c r="I36" s="61"/>
      <c r="J36" s="438">
        <f t="shared" si="11"/>
        <v>75710</v>
      </c>
      <c r="K36" s="62">
        <v>208581</v>
      </c>
      <c r="L36" s="63">
        <v>128000</v>
      </c>
      <c r="M36" s="334">
        <v>10</v>
      </c>
      <c r="N36" s="62">
        <v>39</v>
      </c>
      <c r="O36" s="62">
        <v>-49</v>
      </c>
      <c r="P36" s="440">
        <f t="shared" si="12"/>
        <v>0</v>
      </c>
      <c r="Q36" s="166"/>
      <c r="R36" s="167">
        <v>1</v>
      </c>
      <c r="S36" s="48"/>
      <c r="T36" s="438">
        <f t="shared" si="13"/>
        <v>0</v>
      </c>
      <c r="U36" s="183">
        <f t="shared" si="14"/>
        <v>0</v>
      </c>
      <c r="V36" s="438">
        <f t="shared" si="15"/>
        <v>0</v>
      </c>
      <c r="W36" s="476">
        <f t="shared" si="16"/>
        <v>0</v>
      </c>
      <c r="X36" s="528"/>
      <c r="Y36" s="48"/>
      <c r="Z36" s="168"/>
      <c r="AA36" s="48"/>
      <c r="AB36" s="48"/>
      <c r="AC36" s="168"/>
      <c r="AD36" s="438">
        <f t="shared" si="17"/>
        <v>0</v>
      </c>
      <c r="AE36" s="476">
        <f t="shared" si="18"/>
        <v>0</v>
      </c>
      <c r="AF36" s="180"/>
      <c r="AG36" s="177"/>
      <c r="AH36" s="169"/>
      <c r="AI36" s="169"/>
      <c r="AJ36" s="169"/>
      <c r="AK36" s="170"/>
      <c r="AL36" s="169"/>
      <c r="AM36" s="169"/>
      <c r="AN36" s="169"/>
      <c r="AO36" s="169"/>
      <c r="AP36" s="179"/>
      <c r="AQ36" s="282"/>
      <c r="AR36" s="486">
        <f t="shared" si="9"/>
        <v>642</v>
      </c>
      <c r="AS36" s="48"/>
      <c r="AT36" s="48">
        <v>437</v>
      </c>
      <c r="AU36" s="284"/>
      <c r="AV36" s="438">
        <f t="shared" si="25"/>
        <v>1079</v>
      </c>
      <c r="AW36" s="438">
        <f t="shared" si="19"/>
        <v>58888</v>
      </c>
      <c r="AX36" s="48"/>
      <c r="AY36" s="173"/>
      <c r="AZ36" s="61">
        <v>642</v>
      </c>
      <c r="BA36" s="438">
        <f t="shared" si="10"/>
        <v>0</v>
      </c>
      <c r="BB36" s="438">
        <f t="shared" si="20"/>
        <v>0</v>
      </c>
      <c r="BC36" s="174"/>
      <c r="BD36" s="487">
        <f t="shared" si="21"/>
        <v>58888</v>
      </c>
      <c r="BE36" s="169"/>
      <c r="BF36" s="174">
        <f t="shared" si="22"/>
        <v>58888</v>
      </c>
      <c r="BG36" s="471">
        <f t="shared" si="23"/>
        <v>134598</v>
      </c>
      <c r="BH36" s="175"/>
      <c r="BI36" s="471"/>
      <c r="BJ36" s="283"/>
      <c r="BK36" s="478">
        <f t="shared" si="24"/>
        <v>134598</v>
      </c>
      <c r="BM36" s="466"/>
      <c r="BN36" s="467"/>
    </row>
    <row r="37" spans="1:66" s="165" customFormat="1" ht="15.75" customHeight="1">
      <c r="A37" s="474">
        <f>Доходи!A36</f>
        <v>23</v>
      </c>
      <c r="B37" s="475" t="str">
        <f>Доходи!B36</f>
        <v>с.Світанок</v>
      </c>
      <c r="C37" s="340">
        <v>0</v>
      </c>
      <c r="D37" s="83">
        <v>0</v>
      </c>
      <c r="E37" s="328"/>
      <c r="F37" s="485">
        <f>Доходи!E36*1000</f>
        <v>859</v>
      </c>
      <c r="G37" s="20">
        <v>3</v>
      </c>
      <c r="H37" s="21">
        <v>3</v>
      </c>
      <c r="I37" s="61"/>
      <c r="J37" s="438">
        <f t="shared" si="11"/>
        <v>86847</v>
      </c>
      <c r="K37" s="62">
        <v>230709</v>
      </c>
      <c r="L37" s="63">
        <v>141700</v>
      </c>
      <c r="M37" s="334">
        <v>40</v>
      </c>
      <c r="N37" s="62">
        <v>20</v>
      </c>
      <c r="O37" s="62"/>
      <c r="P37" s="440">
        <f t="shared" si="12"/>
        <v>60</v>
      </c>
      <c r="Q37" s="48">
        <v>1</v>
      </c>
      <c r="R37" s="20"/>
      <c r="S37" s="48">
        <v>17</v>
      </c>
      <c r="T37" s="438">
        <f t="shared" si="13"/>
        <v>140206</v>
      </c>
      <c r="U37" s="183">
        <f>$BM37*$BM$13*1000</f>
        <v>1799.3865739599025</v>
      </c>
      <c r="V37" s="438">
        <f t="shared" si="15"/>
        <v>0</v>
      </c>
      <c r="W37" s="476">
        <f t="shared" si="16"/>
        <v>138407</v>
      </c>
      <c r="X37" s="334"/>
      <c r="Y37" s="48"/>
      <c r="Z37" s="168"/>
      <c r="AA37" s="48"/>
      <c r="AB37" s="48"/>
      <c r="AC37" s="168"/>
      <c r="AD37" s="438">
        <f t="shared" si="17"/>
        <v>0</v>
      </c>
      <c r="AE37" s="476">
        <f t="shared" si="18"/>
        <v>140206</v>
      </c>
      <c r="AF37" s="180"/>
      <c r="AG37" s="169"/>
      <c r="AH37" s="169"/>
      <c r="AI37" s="169"/>
      <c r="AJ37" s="169"/>
      <c r="AK37" s="170"/>
      <c r="AL37" s="169"/>
      <c r="AM37" s="169"/>
      <c r="AN37" s="169"/>
      <c r="AO37" s="169"/>
      <c r="AP37" s="179"/>
      <c r="AQ37" s="282"/>
      <c r="AR37" s="486">
        <f t="shared" si="9"/>
        <v>859</v>
      </c>
      <c r="AS37" s="48"/>
      <c r="AT37" s="48"/>
      <c r="AU37" s="48"/>
      <c r="AV37" s="438">
        <f t="shared" si="25"/>
        <v>859</v>
      </c>
      <c r="AW37" s="438">
        <f t="shared" si="19"/>
        <v>46882</v>
      </c>
      <c r="AX37" s="48"/>
      <c r="AY37" s="173"/>
      <c r="AZ37" s="61">
        <v>859</v>
      </c>
      <c r="BA37" s="438">
        <f t="shared" si="10"/>
        <v>0</v>
      </c>
      <c r="BB37" s="438">
        <f t="shared" si="20"/>
        <v>0</v>
      </c>
      <c r="BC37" s="174"/>
      <c r="BD37" s="487">
        <f t="shared" si="21"/>
        <v>46882</v>
      </c>
      <c r="BE37" s="169"/>
      <c r="BF37" s="174">
        <f t="shared" si="22"/>
        <v>46882</v>
      </c>
      <c r="BG37" s="471">
        <f t="shared" si="23"/>
        <v>273935</v>
      </c>
      <c r="BH37" s="175"/>
      <c r="BI37" s="471"/>
      <c r="BJ37" s="283"/>
      <c r="BK37" s="478">
        <f t="shared" si="24"/>
        <v>273935</v>
      </c>
      <c r="BM37" s="466">
        <v>60</v>
      </c>
      <c r="BN37" s="467"/>
    </row>
    <row r="38" spans="1:66" s="165" customFormat="1" ht="15.75" customHeight="1">
      <c r="A38" s="474">
        <f>Доходи!A37</f>
        <v>24</v>
      </c>
      <c r="B38" s="475" t="str">
        <f>Доходи!B37</f>
        <v>с.Стодоли</v>
      </c>
      <c r="C38" s="340">
        <v>0</v>
      </c>
      <c r="D38" s="83"/>
      <c r="E38" s="328"/>
      <c r="F38" s="485">
        <f>Доходи!E37*1000</f>
        <v>602</v>
      </c>
      <c r="G38" s="20">
        <v>2</v>
      </c>
      <c r="H38" s="21">
        <v>3</v>
      </c>
      <c r="I38" s="61"/>
      <c r="J38" s="438">
        <f t="shared" si="11"/>
        <v>73657</v>
      </c>
      <c r="K38" s="62">
        <v>187821</v>
      </c>
      <c r="L38" s="63">
        <v>136400</v>
      </c>
      <c r="M38" s="334">
        <v>16</v>
      </c>
      <c r="N38" s="62">
        <v>-16</v>
      </c>
      <c r="O38" s="62"/>
      <c r="P38" s="440">
        <f t="shared" si="12"/>
        <v>0</v>
      </c>
      <c r="Q38" s="48"/>
      <c r="R38" s="20"/>
      <c r="S38" s="48"/>
      <c r="T38" s="438">
        <f aca="true" t="shared" si="26" ref="T38:T44">V38+W38+U38</f>
        <v>0</v>
      </c>
      <c r="U38" s="183">
        <f t="shared" si="14"/>
        <v>0</v>
      </c>
      <c r="V38" s="438">
        <f t="shared" si="15"/>
        <v>0</v>
      </c>
      <c r="W38" s="476">
        <f t="shared" si="16"/>
        <v>0</v>
      </c>
      <c r="X38" s="334"/>
      <c r="Y38" s="48"/>
      <c r="Z38" s="168"/>
      <c r="AA38" s="48"/>
      <c r="AB38" s="48"/>
      <c r="AC38" s="168"/>
      <c r="AD38" s="438">
        <f t="shared" si="17"/>
        <v>0</v>
      </c>
      <c r="AE38" s="476">
        <f t="shared" si="18"/>
        <v>0</v>
      </c>
      <c r="AF38" s="180"/>
      <c r="AG38" s="169"/>
      <c r="AH38" s="169"/>
      <c r="AI38" s="169"/>
      <c r="AJ38" s="169"/>
      <c r="AK38" s="170"/>
      <c r="AL38" s="169"/>
      <c r="AM38" s="169"/>
      <c r="AN38" s="169"/>
      <c r="AO38" s="169"/>
      <c r="AP38" s="179"/>
      <c r="AQ38" s="282"/>
      <c r="AR38" s="486">
        <f t="shared" si="9"/>
        <v>602</v>
      </c>
      <c r="AS38" s="48"/>
      <c r="AT38" s="48"/>
      <c r="AU38" s="48"/>
      <c r="AV38" s="438">
        <f t="shared" si="25"/>
        <v>602</v>
      </c>
      <c r="AW38" s="438">
        <f t="shared" si="19"/>
        <v>32855</v>
      </c>
      <c r="AX38" s="48"/>
      <c r="AY38" s="173"/>
      <c r="AZ38" s="61">
        <v>602</v>
      </c>
      <c r="BA38" s="438">
        <f t="shared" si="10"/>
        <v>0</v>
      </c>
      <c r="BB38" s="438">
        <f t="shared" si="20"/>
        <v>0</v>
      </c>
      <c r="BC38" s="174"/>
      <c r="BD38" s="487">
        <f t="shared" si="21"/>
        <v>32855</v>
      </c>
      <c r="BE38" s="169"/>
      <c r="BF38" s="174">
        <f t="shared" si="22"/>
        <v>32855</v>
      </c>
      <c r="BG38" s="471">
        <f t="shared" si="23"/>
        <v>106512</v>
      </c>
      <c r="BH38" s="175"/>
      <c r="BI38" s="471"/>
      <c r="BJ38" s="283"/>
      <c r="BK38" s="478">
        <f t="shared" si="24"/>
        <v>106512</v>
      </c>
      <c r="BM38" s="466"/>
      <c r="BN38" s="467"/>
    </row>
    <row r="39" spans="1:66" s="165" customFormat="1" ht="15.75" customHeight="1">
      <c r="A39" s="474">
        <f>Доходи!A38</f>
        <v>25</v>
      </c>
      <c r="B39" s="475" t="str">
        <f>Доходи!B38</f>
        <v>с.Талалаївка</v>
      </c>
      <c r="C39" s="340">
        <v>0</v>
      </c>
      <c r="D39" s="83"/>
      <c r="E39" s="328"/>
      <c r="F39" s="485">
        <f>Доходи!E38*1000</f>
        <v>2393</v>
      </c>
      <c r="G39" s="20">
        <v>3</v>
      </c>
      <c r="H39" s="21">
        <v>3.5</v>
      </c>
      <c r="I39" s="61"/>
      <c r="J39" s="438">
        <f t="shared" si="11"/>
        <v>172702</v>
      </c>
      <c r="K39" s="62">
        <v>206332</v>
      </c>
      <c r="L39" s="63">
        <v>157040</v>
      </c>
      <c r="M39" s="334">
        <v>206</v>
      </c>
      <c r="N39" s="62">
        <v>26</v>
      </c>
      <c r="O39" s="62"/>
      <c r="P39" s="440">
        <f t="shared" si="12"/>
        <v>232</v>
      </c>
      <c r="Q39" s="48">
        <v>3</v>
      </c>
      <c r="R39" s="20"/>
      <c r="S39" s="48">
        <v>59</v>
      </c>
      <c r="T39" s="438">
        <f t="shared" si="26"/>
        <v>471837.6280859783</v>
      </c>
      <c r="U39" s="183">
        <f t="shared" si="14"/>
        <v>6957.62808597829</v>
      </c>
      <c r="V39" s="438">
        <f t="shared" si="15"/>
        <v>0</v>
      </c>
      <c r="W39" s="476">
        <f t="shared" si="16"/>
        <v>464880</v>
      </c>
      <c r="X39" s="334"/>
      <c r="Y39" s="48"/>
      <c r="Z39" s="168"/>
      <c r="AA39" s="48"/>
      <c r="AB39" s="48"/>
      <c r="AC39" s="168"/>
      <c r="AD39" s="438">
        <f t="shared" si="17"/>
        <v>0</v>
      </c>
      <c r="AE39" s="476">
        <f t="shared" si="18"/>
        <v>471838</v>
      </c>
      <c r="AF39" s="180"/>
      <c r="AG39" s="169"/>
      <c r="AH39" s="169"/>
      <c r="AI39" s="169"/>
      <c r="AJ39" s="169"/>
      <c r="AK39" s="170"/>
      <c r="AL39" s="169"/>
      <c r="AM39" s="169"/>
      <c r="AN39" s="169"/>
      <c r="AO39" s="169"/>
      <c r="AP39" s="179"/>
      <c r="AQ39" s="282"/>
      <c r="AR39" s="486">
        <f t="shared" si="9"/>
        <v>2393</v>
      </c>
      <c r="AS39" s="48"/>
      <c r="AT39" s="48"/>
      <c r="AU39" s="48">
        <v>2393</v>
      </c>
      <c r="AV39" s="438">
        <f t="shared" si="25"/>
        <v>0</v>
      </c>
      <c r="AW39" s="438">
        <f t="shared" si="19"/>
        <v>0</v>
      </c>
      <c r="AX39" s="48"/>
      <c r="AY39" s="173"/>
      <c r="AZ39" s="61">
        <v>2393</v>
      </c>
      <c r="BA39" s="438">
        <f t="shared" si="10"/>
        <v>0</v>
      </c>
      <c r="BB39" s="438">
        <f t="shared" si="20"/>
        <v>0</v>
      </c>
      <c r="BC39" s="174"/>
      <c r="BD39" s="487">
        <f t="shared" si="21"/>
        <v>0</v>
      </c>
      <c r="BE39" s="169"/>
      <c r="BF39" s="174">
        <f t="shared" si="22"/>
        <v>0</v>
      </c>
      <c r="BG39" s="471">
        <f t="shared" si="23"/>
        <v>644540</v>
      </c>
      <c r="BH39" s="175"/>
      <c r="BI39" s="471"/>
      <c r="BJ39" s="283"/>
      <c r="BK39" s="478">
        <f t="shared" si="24"/>
        <v>644540</v>
      </c>
      <c r="BM39" s="466">
        <v>232</v>
      </c>
      <c r="BN39" s="467"/>
    </row>
    <row r="40" spans="1:66" s="165" customFormat="1" ht="15.75" customHeight="1">
      <c r="A40" s="474">
        <f>Доходи!A39</f>
        <v>26</v>
      </c>
      <c r="B40" s="475" t="str">
        <f>Доходи!B39</f>
        <v>с.Терешківка</v>
      </c>
      <c r="C40" s="340">
        <v>0</v>
      </c>
      <c r="D40" s="83"/>
      <c r="E40" s="328"/>
      <c r="F40" s="485">
        <f>Доходи!E39*1000</f>
        <v>270</v>
      </c>
      <c r="G40" s="20">
        <v>1</v>
      </c>
      <c r="H40" s="21">
        <v>3</v>
      </c>
      <c r="I40" s="61"/>
      <c r="J40" s="438">
        <f t="shared" si="11"/>
        <v>56618</v>
      </c>
      <c r="K40" s="62">
        <v>133014</v>
      </c>
      <c r="L40" s="63">
        <v>101920</v>
      </c>
      <c r="M40" s="334">
        <v>9</v>
      </c>
      <c r="N40" s="62">
        <v>-9</v>
      </c>
      <c r="O40" s="62"/>
      <c r="P40" s="440">
        <f t="shared" si="12"/>
        <v>0</v>
      </c>
      <c r="Q40" s="48"/>
      <c r="R40" s="20"/>
      <c r="S40" s="48"/>
      <c r="T40" s="438">
        <f t="shared" si="26"/>
        <v>0</v>
      </c>
      <c r="U40" s="183">
        <f t="shared" si="14"/>
        <v>0</v>
      </c>
      <c r="V40" s="438">
        <f t="shared" si="15"/>
        <v>0</v>
      </c>
      <c r="W40" s="476">
        <f t="shared" si="16"/>
        <v>0</v>
      </c>
      <c r="X40" s="334"/>
      <c r="Y40" s="48"/>
      <c r="Z40" s="168"/>
      <c r="AA40" s="48"/>
      <c r="AB40" s="48"/>
      <c r="AC40" s="168"/>
      <c r="AD40" s="438">
        <f t="shared" si="17"/>
        <v>0</v>
      </c>
      <c r="AE40" s="476">
        <f t="shared" si="18"/>
        <v>0</v>
      </c>
      <c r="AF40" s="180"/>
      <c r="AG40" s="169"/>
      <c r="AH40" s="169"/>
      <c r="AI40" s="169"/>
      <c r="AJ40" s="169"/>
      <c r="AK40" s="170"/>
      <c r="AL40" s="169"/>
      <c r="AM40" s="169"/>
      <c r="AN40" s="169"/>
      <c r="AO40" s="169"/>
      <c r="AP40" s="179"/>
      <c r="AQ40" s="282"/>
      <c r="AR40" s="486">
        <f t="shared" si="9"/>
        <v>270</v>
      </c>
      <c r="AS40" s="48"/>
      <c r="AT40" s="48"/>
      <c r="AU40" s="48"/>
      <c r="AV40" s="183">
        <f t="shared" si="25"/>
        <v>270</v>
      </c>
      <c r="AW40" s="438">
        <f t="shared" si="19"/>
        <v>14736</v>
      </c>
      <c r="AX40" s="48"/>
      <c r="AY40" s="173"/>
      <c r="AZ40" s="61">
        <v>270</v>
      </c>
      <c r="BA40" s="438">
        <f t="shared" si="10"/>
        <v>0</v>
      </c>
      <c r="BB40" s="438">
        <f t="shared" si="20"/>
        <v>0</v>
      </c>
      <c r="BC40" s="174"/>
      <c r="BD40" s="487">
        <f t="shared" si="21"/>
        <v>14736</v>
      </c>
      <c r="BE40" s="169"/>
      <c r="BF40" s="174">
        <f t="shared" si="22"/>
        <v>14736</v>
      </c>
      <c r="BG40" s="471">
        <f t="shared" si="23"/>
        <v>71354</v>
      </c>
      <c r="BH40" s="175"/>
      <c r="BI40" s="471"/>
      <c r="BJ40" s="283"/>
      <c r="BK40" s="478">
        <f t="shared" si="24"/>
        <v>71354</v>
      </c>
      <c r="BM40" s="466"/>
      <c r="BN40" s="467"/>
    </row>
    <row r="41" spans="1:66" s="165" customFormat="1" ht="15.75" customHeight="1">
      <c r="A41" s="474">
        <f>Доходи!A40</f>
        <v>27</v>
      </c>
      <c r="B41" s="475" t="str">
        <f>Доходи!B40</f>
        <v>с.Черняхівка</v>
      </c>
      <c r="C41" s="340">
        <v>0</v>
      </c>
      <c r="D41" s="83"/>
      <c r="E41" s="328"/>
      <c r="F41" s="485">
        <f>Доходи!E40*1000</f>
        <v>730</v>
      </c>
      <c r="G41" s="20">
        <v>2</v>
      </c>
      <c r="H41" s="21">
        <v>3</v>
      </c>
      <c r="I41" s="61"/>
      <c r="J41" s="438">
        <f t="shared" si="11"/>
        <v>80226</v>
      </c>
      <c r="K41" s="62">
        <v>190860</v>
      </c>
      <c r="L41" s="63">
        <v>190860</v>
      </c>
      <c r="M41" s="334">
        <v>44</v>
      </c>
      <c r="N41" s="62">
        <v>18</v>
      </c>
      <c r="O41" s="62"/>
      <c r="P41" s="440">
        <f t="shared" si="12"/>
        <v>62</v>
      </c>
      <c r="Q41" s="48"/>
      <c r="R41" s="20"/>
      <c r="S41" s="48"/>
      <c r="T41" s="438">
        <f t="shared" si="26"/>
        <v>65609.97464944475</v>
      </c>
      <c r="U41" s="183">
        <f t="shared" si="14"/>
        <v>0</v>
      </c>
      <c r="V41" s="438">
        <f t="shared" si="15"/>
        <v>6399.974649444745</v>
      </c>
      <c r="W41" s="476">
        <f t="shared" si="16"/>
        <v>59210</v>
      </c>
      <c r="X41" s="334"/>
      <c r="Y41" s="48"/>
      <c r="Z41" s="168"/>
      <c r="AA41" s="48"/>
      <c r="AB41" s="48"/>
      <c r="AC41" s="168"/>
      <c r="AD41" s="438">
        <f t="shared" si="17"/>
        <v>0</v>
      </c>
      <c r="AE41" s="476">
        <f t="shared" si="18"/>
        <v>65610</v>
      </c>
      <c r="AF41" s="180"/>
      <c r="AG41" s="169"/>
      <c r="AH41" s="169"/>
      <c r="AI41" s="169"/>
      <c r="AJ41" s="169"/>
      <c r="AK41" s="170"/>
      <c r="AL41" s="169"/>
      <c r="AM41" s="169"/>
      <c r="AN41" s="169"/>
      <c r="AO41" s="169"/>
      <c r="AP41" s="179"/>
      <c r="AQ41" s="282"/>
      <c r="AR41" s="486">
        <f t="shared" si="9"/>
        <v>730</v>
      </c>
      <c r="AS41" s="48">
        <v>488</v>
      </c>
      <c r="AT41" s="48"/>
      <c r="AU41" s="48"/>
      <c r="AV41" s="183">
        <f t="shared" si="25"/>
        <v>242</v>
      </c>
      <c r="AW41" s="438">
        <f t="shared" si="19"/>
        <v>13208</v>
      </c>
      <c r="AX41" s="48"/>
      <c r="AY41" s="173"/>
      <c r="AZ41" s="61">
        <v>730</v>
      </c>
      <c r="BA41" s="438">
        <f t="shared" si="10"/>
        <v>0</v>
      </c>
      <c r="BB41" s="438">
        <f t="shared" si="20"/>
        <v>0</v>
      </c>
      <c r="BC41" s="174"/>
      <c r="BD41" s="487">
        <f t="shared" si="21"/>
        <v>13208</v>
      </c>
      <c r="BE41" s="169"/>
      <c r="BF41" s="174">
        <f t="shared" si="22"/>
        <v>13208</v>
      </c>
      <c r="BG41" s="471">
        <f t="shared" si="23"/>
        <v>159044</v>
      </c>
      <c r="BH41" s="175"/>
      <c r="BI41" s="471"/>
      <c r="BJ41" s="283"/>
      <c r="BK41" s="478">
        <f t="shared" si="24"/>
        <v>159044</v>
      </c>
      <c r="BM41" s="466"/>
      <c r="BN41" s="467">
        <v>62</v>
      </c>
    </row>
    <row r="42" spans="1:66" s="165" customFormat="1" ht="15.75" customHeight="1">
      <c r="A42" s="474">
        <f>Доходи!A41</f>
        <v>28</v>
      </c>
      <c r="B42" s="475" t="str">
        <f>Доходи!B41</f>
        <v>с.Шатура</v>
      </c>
      <c r="C42" s="340">
        <v>0</v>
      </c>
      <c r="D42" s="83"/>
      <c r="E42" s="328"/>
      <c r="F42" s="485">
        <f>Доходи!E41*1000</f>
        <v>543</v>
      </c>
      <c r="G42" s="20">
        <v>1</v>
      </c>
      <c r="H42" s="21">
        <v>3</v>
      </c>
      <c r="I42" s="61"/>
      <c r="J42" s="438">
        <f t="shared" si="11"/>
        <v>70629</v>
      </c>
      <c r="K42" s="62">
        <v>216945</v>
      </c>
      <c r="L42" s="63">
        <v>212945</v>
      </c>
      <c r="M42" s="334">
        <v>34</v>
      </c>
      <c r="N42" s="62"/>
      <c r="O42" s="62">
        <v>-34</v>
      </c>
      <c r="P42" s="440">
        <f t="shared" si="12"/>
        <v>0</v>
      </c>
      <c r="Q42" s="49"/>
      <c r="R42" s="107">
        <v>1</v>
      </c>
      <c r="S42" s="48"/>
      <c r="T42" s="438">
        <f t="shared" si="26"/>
        <v>0</v>
      </c>
      <c r="U42" s="183">
        <f t="shared" si="14"/>
        <v>0</v>
      </c>
      <c r="V42" s="438">
        <f t="shared" si="15"/>
        <v>0</v>
      </c>
      <c r="W42" s="476">
        <f t="shared" si="16"/>
        <v>0</v>
      </c>
      <c r="X42" s="334"/>
      <c r="Y42" s="48"/>
      <c r="Z42" s="168"/>
      <c r="AA42" s="48"/>
      <c r="AB42" s="48"/>
      <c r="AC42" s="168"/>
      <c r="AD42" s="438">
        <f t="shared" si="17"/>
        <v>0</v>
      </c>
      <c r="AE42" s="476">
        <f t="shared" si="18"/>
        <v>0</v>
      </c>
      <c r="AF42" s="180"/>
      <c r="AG42" s="169"/>
      <c r="AH42" s="169"/>
      <c r="AI42" s="169"/>
      <c r="AJ42" s="169"/>
      <c r="AK42" s="170"/>
      <c r="AL42" s="169"/>
      <c r="AM42" s="169"/>
      <c r="AN42" s="169"/>
      <c r="AO42" s="169"/>
      <c r="AP42" s="179"/>
      <c r="AQ42" s="282"/>
      <c r="AR42" s="486">
        <f t="shared" si="9"/>
        <v>543</v>
      </c>
      <c r="AS42" s="48"/>
      <c r="AT42" s="48">
        <v>2530</v>
      </c>
      <c r="AU42" s="48"/>
      <c r="AV42" s="183">
        <f t="shared" si="25"/>
        <v>3073</v>
      </c>
      <c r="AW42" s="438">
        <f t="shared" si="19"/>
        <v>167715</v>
      </c>
      <c r="AX42" s="48"/>
      <c r="AY42" s="173"/>
      <c r="AZ42" s="61">
        <v>543</v>
      </c>
      <c r="BA42" s="438">
        <f t="shared" si="10"/>
        <v>0</v>
      </c>
      <c r="BB42" s="438">
        <f t="shared" si="20"/>
        <v>0</v>
      </c>
      <c r="BC42" s="174"/>
      <c r="BD42" s="487">
        <f t="shared" si="21"/>
        <v>167715</v>
      </c>
      <c r="BE42" s="169"/>
      <c r="BF42" s="174">
        <f t="shared" si="22"/>
        <v>167715</v>
      </c>
      <c r="BG42" s="471">
        <f t="shared" si="23"/>
        <v>238344</v>
      </c>
      <c r="BH42" s="175"/>
      <c r="BI42" s="471"/>
      <c r="BJ42" s="283"/>
      <c r="BK42" s="478">
        <f t="shared" si="24"/>
        <v>238344</v>
      </c>
      <c r="BM42" s="466"/>
      <c r="BN42" s="467"/>
    </row>
    <row r="43" spans="1:66" s="165" customFormat="1" ht="15.75" customHeight="1">
      <c r="A43" s="474">
        <f>Доходи!A42</f>
        <v>29</v>
      </c>
      <c r="B43" s="475" t="str">
        <f>Доходи!B42</f>
        <v>с.Шняківка</v>
      </c>
      <c r="C43" s="340">
        <v>0</v>
      </c>
      <c r="D43" s="83"/>
      <c r="E43" s="328"/>
      <c r="F43" s="485">
        <f>Доходи!E42*1000</f>
        <v>330</v>
      </c>
      <c r="G43" s="20">
        <v>1</v>
      </c>
      <c r="H43" s="21">
        <v>3</v>
      </c>
      <c r="I43" s="61"/>
      <c r="J43" s="438">
        <f t="shared" si="11"/>
        <v>59698</v>
      </c>
      <c r="K43" s="62">
        <v>131875</v>
      </c>
      <c r="L43" s="63">
        <v>100490</v>
      </c>
      <c r="M43" s="334">
        <v>12</v>
      </c>
      <c r="N43" s="62">
        <v>-12</v>
      </c>
      <c r="O43" s="62"/>
      <c r="P43" s="440">
        <f t="shared" si="12"/>
        <v>0</v>
      </c>
      <c r="Q43" s="48"/>
      <c r="R43" s="20"/>
      <c r="S43" s="48"/>
      <c r="T43" s="438">
        <f t="shared" si="26"/>
        <v>0</v>
      </c>
      <c r="U43" s="183">
        <f t="shared" si="14"/>
        <v>0</v>
      </c>
      <c r="V43" s="438">
        <f t="shared" si="15"/>
        <v>0</v>
      </c>
      <c r="W43" s="476">
        <f t="shared" si="16"/>
        <v>0</v>
      </c>
      <c r="X43" s="334"/>
      <c r="Y43" s="48"/>
      <c r="Z43" s="168"/>
      <c r="AA43" s="48"/>
      <c r="AB43" s="48"/>
      <c r="AC43" s="168"/>
      <c r="AD43" s="438">
        <f t="shared" si="17"/>
        <v>0</v>
      </c>
      <c r="AE43" s="476">
        <f t="shared" si="18"/>
        <v>0</v>
      </c>
      <c r="AF43" s="180"/>
      <c r="AG43" s="169"/>
      <c r="AH43" s="169"/>
      <c r="AI43" s="169"/>
      <c r="AJ43" s="169"/>
      <c r="AK43" s="170"/>
      <c r="AL43" s="169"/>
      <c r="AM43" s="169"/>
      <c r="AN43" s="169"/>
      <c r="AO43" s="169"/>
      <c r="AP43" s="179"/>
      <c r="AQ43" s="282"/>
      <c r="AR43" s="486">
        <f t="shared" si="9"/>
        <v>330</v>
      </c>
      <c r="AS43" s="48"/>
      <c r="AT43" s="48"/>
      <c r="AU43" s="48"/>
      <c r="AV43" s="183">
        <f t="shared" si="25"/>
        <v>330</v>
      </c>
      <c r="AW43" s="438">
        <f t="shared" si="19"/>
        <v>18010</v>
      </c>
      <c r="AX43" s="48"/>
      <c r="AY43" s="173"/>
      <c r="AZ43" s="61">
        <v>330</v>
      </c>
      <c r="BA43" s="438">
        <f t="shared" si="10"/>
        <v>0</v>
      </c>
      <c r="BB43" s="438">
        <f t="shared" si="20"/>
        <v>0</v>
      </c>
      <c r="BC43" s="174"/>
      <c r="BD43" s="487">
        <f t="shared" si="21"/>
        <v>18010</v>
      </c>
      <c r="BE43" s="169"/>
      <c r="BF43" s="174">
        <f t="shared" si="22"/>
        <v>18010</v>
      </c>
      <c r="BG43" s="471">
        <f t="shared" si="23"/>
        <v>77708</v>
      </c>
      <c r="BH43" s="175"/>
      <c r="BI43" s="471"/>
      <c r="BJ43" s="283"/>
      <c r="BK43" s="478">
        <f t="shared" si="24"/>
        <v>77708</v>
      </c>
      <c r="BM43" s="466"/>
      <c r="BN43" s="467"/>
    </row>
    <row r="44" spans="1:66" s="165" customFormat="1" ht="15.75" customHeight="1">
      <c r="A44" s="474">
        <f>Доходи!A43</f>
        <v>30</v>
      </c>
      <c r="B44" s="475" t="str">
        <f>Доходи!B43</f>
        <v>селище Лосинівка</v>
      </c>
      <c r="C44" s="340">
        <v>1</v>
      </c>
      <c r="D44" s="83"/>
      <c r="E44" s="328"/>
      <c r="F44" s="485">
        <f>Доходи!E43*1000</f>
        <v>3905</v>
      </c>
      <c r="G44" s="20">
        <v>2</v>
      </c>
      <c r="H44" s="21">
        <v>5.5</v>
      </c>
      <c r="I44" s="61"/>
      <c r="J44" s="438">
        <f t="shared" si="11"/>
        <v>212410</v>
      </c>
      <c r="K44" s="62">
        <v>291068</v>
      </c>
      <c r="L44" s="63">
        <v>217700</v>
      </c>
      <c r="M44" s="334">
        <v>251</v>
      </c>
      <c r="N44" s="62"/>
      <c r="O44" s="62"/>
      <c r="P44" s="440">
        <f t="shared" si="12"/>
        <v>251</v>
      </c>
      <c r="Q44" s="48">
        <v>4</v>
      </c>
      <c r="R44" s="20"/>
      <c r="S44" s="49">
        <v>100</v>
      </c>
      <c r="T44" s="438">
        <f t="shared" si="26"/>
        <v>975629.433834399</v>
      </c>
      <c r="U44" s="183">
        <f t="shared" si="14"/>
        <v>7527.433834398926</v>
      </c>
      <c r="V44" s="438">
        <f t="shared" si="15"/>
        <v>0</v>
      </c>
      <c r="W44" s="476">
        <f t="shared" si="16"/>
        <v>968102</v>
      </c>
      <c r="X44" s="334"/>
      <c r="Y44" s="48"/>
      <c r="Z44" s="168"/>
      <c r="AA44" s="48"/>
      <c r="AB44" s="48"/>
      <c r="AC44" s="168"/>
      <c r="AD44" s="438">
        <f t="shared" si="17"/>
        <v>0</v>
      </c>
      <c r="AE44" s="476">
        <f t="shared" si="18"/>
        <v>975629</v>
      </c>
      <c r="AF44" s="180"/>
      <c r="AG44" s="169"/>
      <c r="AH44" s="169"/>
      <c r="AI44" s="169"/>
      <c r="AJ44" s="169"/>
      <c r="AK44" s="170"/>
      <c r="AL44" s="169"/>
      <c r="AM44" s="169"/>
      <c r="AN44" s="169"/>
      <c r="AO44" s="169"/>
      <c r="AP44" s="179"/>
      <c r="AQ44" s="282"/>
      <c r="AR44" s="486">
        <f t="shared" si="9"/>
        <v>3905</v>
      </c>
      <c r="AS44" s="48"/>
      <c r="AT44" s="48"/>
      <c r="AU44" s="48"/>
      <c r="AV44" s="183">
        <f t="shared" si="25"/>
        <v>3905</v>
      </c>
      <c r="AW44" s="438">
        <f t="shared" si="19"/>
        <v>213123</v>
      </c>
      <c r="AX44" s="48"/>
      <c r="AY44" s="173"/>
      <c r="AZ44" s="61">
        <v>3905</v>
      </c>
      <c r="BA44" s="438">
        <f t="shared" si="10"/>
        <v>0</v>
      </c>
      <c r="BB44" s="438">
        <f t="shared" si="20"/>
        <v>0</v>
      </c>
      <c r="BC44" s="174"/>
      <c r="BD44" s="487">
        <f t="shared" si="21"/>
        <v>213123</v>
      </c>
      <c r="BE44" s="169"/>
      <c r="BF44" s="174">
        <f t="shared" si="22"/>
        <v>213123</v>
      </c>
      <c r="BG44" s="471">
        <f t="shared" si="23"/>
        <v>1401162</v>
      </c>
      <c r="BH44" s="175"/>
      <c r="BI44" s="471"/>
      <c r="BJ44" s="283"/>
      <c r="BK44" s="478">
        <f t="shared" si="24"/>
        <v>1401162</v>
      </c>
      <c r="BM44" s="466">
        <v>251</v>
      </c>
      <c r="BN44" s="467"/>
    </row>
    <row r="45" spans="1:67" s="181" customFormat="1" ht="15">
      <c r="A45" s="645">
        <v>0</v>
      </c>
      <c r="B45" s="646"/>
      <c r="C45" s="647"/>
      <c r="D45" s="84"/>
      <c r="E45" s="329"/>
      <c r="F45" s="485">
        <f aca="true" t="shared" si="27" ref="F45:Q45">SUM(F15:F44)</f>
        <v>29595</v>
      </c>
      <c r="G45" s="488">
        <f t="shared" si="27"/>
        <v>70</v>
      </c>
      <c r="H45" s="488">
        <f t="shared" si="27"/>
        <v>98</v>
      </c>
      <c r="I45" s="442">
        <f t="shared" si="27"/>
        <v>0</v>
      </c>
      <c r="J45" s="482">
        <f t="shared" si="27"/>
        <v>2849351</v>
      </c>
      <c r="K45" s="440">
        <f t="shared" si="27"/>
        <v>6479950</v>
      </c>
      <c r="L45" s="489">
        <f t="shared" si="27"/>
        <v>4871164</v>
      </c>
      <c r="M45" s="490">
        <f t="shared" si="27"/>
        <v>1568</v>
      </c>
      <c r="N45" s="440">
        <f t="shared" si="27"/>
        <v>0</v>
      </c>
      <c r="O45" s="440">
        <f t="shared" si="27"/>
        <v>-128</v>
      </c>
      <c r="P45" s="440">
        <f t="shared" si="27"/>
        <v>1440</v>
      </c>
      <c r="Q45" s="440">
        <f t="shared" si="27"/>
        <v>18</v>
      </c>
      <c r="R45" s="81"/>
      <c r="S45" s="440">
        <f>SUM(S15:S44)</f>
        <v>358</v>
      </c>
      <c r="T45" s="482">
        <f>ROUND(SUM(T15:T44),)</f>
        <v>3293993</v>
      </c>
      <c r="U45" s="440">
        <f aca="true" t="shared" si="28" ref="U45:AE45">SUM(U15:U44)</f>
        <v>38387.079087287435</v>
      </c>
      <c r="V45" s="440">
        <f t="shared" si="28"/>
        <v>16515.974649444746</v>
      </c>
      <c r="W45" s="535">
        <f t="shared" si="28"/>
        <v>3239092</v>
      </c>
      <c r="X45" s="490">
        <f t="shared" si="28"/>
        <v>0</v>
      </c>
      <c r="Y45" s="440">
        <f t="shared" si="28"/>
        <v>14</v>
      </c>
      <c r="Z45" s="495">
        <f t="shared" si="28"/>
        <v>1.751</v>
      </c>
      <c r="AA45" s="440">
        <f t="shared" si="28"/>
        <v>0</v>
      </c>
      <c r="AB45" s="440">
        <f t="shared" si="28"/>
        <v>0</v>
      </c>
      <c r="AC45" s="440">
        <f t="shared" si="28"/>
        <v>0</v>
      </c>
      <c r="AD45" s="440">
        <f t="shared" si="28"/>
        <v>199116.83573808914</v>
      </c>
      <c r="AE45" s="477">
        <f t="shared" si="28"/>
        <v>3493110</v>
      </c>
      <c r="AF45" s="275"/>
      <c r="AG45" s="83"/>
      <c r="AH45" s="83"/>
      <c r="AI45" s="83"/>
      <c r="AJ45" s="83"/>
      <c r="AK45" s="83"/>
      <c r="AL45" s="83"/>
      <c r="AM45" s="83"/>
      <c r="AN45" s="275"/>
      <c r="AO45" s="83"/>
      <c r="AP45" s="83"/>
      <c r="AQ45" s="285"/>
      <c r="AR45" s="440">
        <f aca="true" t="shared" si="29" ref="AR45:BA45">SUM(AR15:AR44)</f>
        <v>29595</v>
      </c>
      <c r="AS45" s="440">
        <f t="shared" si="29"/>
        <v>5597</v>
      </c>
      <c r="AT45" s="440">
        <f t="shared" si="29"/>
        <v>5597</v>
      </c>
      <c r="AU45" s="440">
        <f t="shared" si="29"/>
        <v>2393</v>
      </c>
      <c r="AV45" s="442">
        <f t="shared" si="29"/>
        <v>27202</v>
      </c>
      <c r="AW45" s="442">
        <f t="shared" si="29"/>
        <v>1484602</v>
      </c>
      <c r="AX45" s="440">
        <f t="shared" si="29"/>
        <v>0</v>
      </c>
      <c r="AY45" s="440">
        <f t="shared" si="29"/>
        <v>0</v>
      </c>
      <c r="AZ45" s="440">
        <f t="shared" si="29"/>
        <v>29595</v>
      </c>
      <c r="BA45" s="440">
        <f t="shared" si="29"/>
        <v>0</v>
      </c>
      <c r="BB45" s="440">
        <f>ROUND(SUM(BB15:BB44),)</f>
        <v>0</v>
      </c>
      <c r="BC45" s="440">
        <f>SUM(BC15:BC44)</f>
        <v>0</v>
      </c>
      <c r="BD45" s="440">
        <f>SUM(BD15:BD44)</f>
        <v>1484602</v>
      </c>
      <c r="BE45" s="83"/>
      <c r="BF45" s="440">
        <f>SUM(BF15:BF44)</f>
        <v>1484602</v>
      </c>
      <c r="BG45" s="482">
        <f>SUM(BG15:BG44)</f>
        <v>7827063</v>
      </c>
      <c r="BH45" s="41"/>
      <c r="BI45" s="472"/>
      <c r="BJ45" s="502">
        <f>SUM(BJ15:BJ44)</f>
        <v>0</v>
      </c>
      <c r="BK45" s="477">
        <f>SUM(BK15:BK44)</f>
        <v>7827063</v>
      </c>
      <c r="BM45" s="497">
        <f>SUM(BM15:BM44)</f>
        <v>1280</v>
      </c>
      <c r="BN45" s="489">
        <f>SUM(BN15:BN44)</f>
        <v>160</v>
      </c>
      <c r="BO45" s="182"/>
    </row>
    <row r="46" spans="1:66" ht="15">
      <c r="A46" s="638" t="s">
        <v>142</v>
      </c>
      <c r="B46" s="638"/>
      <c r="C46" s="638"/>
      <c r="D46" s="85"/>
      <c r="E46" s="330"/>
      <c r="F46" s="485">
        <v>3905</v>
      </c>
      <c r="G46" s="488">
        <v>2</v>
      </c>
      <c r="H46" s="488">
        <v>5.5</v>
      </c>
      <c r="I46" s="491">
        <f>SUMPRODUCT($C15:$C44,I15:I44)</f>
        <v>0</v>
      </c>
      <c r="J46" s="482">
        <v>212410</v>
      </c>
      <c r="K46" s="492">
        <f>SUMPRODUCT($C15:$C44,K15:K44)</f>
        <v>291068</v>
      </c>
      <c r="L46" s="489">
        <f>SUMPRODUCT($C15:$C44,L15:L44)</f>
        <v>217700</v>
      </c>
      <c r="M46" s="490">
        <f>SUMPRODUCT($C15:$C44,M15:M44)</f>
        <v>251</v>
      </c>
      <c r="N46" s="498">
        <f aca="true" t="shared" si="30" ref="N46:S46">SUMIF($C$15:$C$44,1,N$15:N$44)</f>
        <v>0</v>
      </c>
      <c r="O46" s="498">
        <f t="shared" si="30"/>
        <v>0</v>
      </c>
      <c r="P46" s="498">
        <f t="shared" si="30"/>
        <v>251</v>
      </c>
      <c r="Q46" s="498">
        <f t="shared" si="30"/>
        <v>4</v>
      </c>
      <c r="R46" s="498">
        <f t="shared" si="30"/>
        <v>0</v>
      </c>
      <c r="S46" s="499">
        <f t="shared" si="30"/>
        <v>100</v>
      </c>
      <c r="T46" s="482">
        <f aca="true" t="shared" si="31" ref="T46:AE46">SUMPRODUCT($C15:$C44,T15:T44)</f>
        <v>975629.433834399</v>
      </c>
      <c r="U46" s="440">
        <f t="shared" si="31"/>
        <v>7527.433834398926</v>
      </c>
      <c r="V46" s="442">
        <f t="shared" si="31"/>
        <v>0</v>
      </c>
      <c r="W46" s="535">
        <f t="shared" si="31"/>
        <v>968102</v>
      </c>
      <c r="X46" s="529">
        <f t="shared" si="31"/>
        <v>0</v>
      </c>
      <c r="Y46" s="442">
        <f t="shared" si="31"/>
        <v>0</v>
      </c>
      <c r="Z46" s="442">
        <f t="shared" si="31"/>
        <v>0</v>
      </c>
      <c r="AA46" s="442">
        <f t="shared" si="31"/>
        <v>0</v>
      </c>
      <c r="AB46" s="442">
        <f t="shared" si="31"/>
        <v>0</v>
      </c>
      <c r="AC46" s="442">
        <f t="shared" si="31"/>
        <v>0</v>
      </c>
      <c r="AD46" s="442">
        <f t="shared" si="31"/>
        <v>0</v>
      </c>
      <c r="AE46" s="477">
        <f t="shared" si="31"/>
        <v>975629</v>
      </c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7"/>
      <c r="AR46" s="442">
        <f aca="true" t="shared" si="32" ref="AR46:BA46">SUMPRODUCT($C15:$C44,AR15:AR44)</f>
        <v>3905</v>
      </c>
      <c r="AS46" s="442">
        <f t="shared" si="32"/>
        <v>0</v>
      </c>
      <c r="AT46" s="442">
        <f t="shared" si="32"/>
        <v>0</v>
      </c>
      <c r="AU46" s="442">
        <f t="shared" si="32"/>
        <v>0</v>
      </c>
      <c r="AV46" s="442">
        <f t="shared" si="32"/>
        <v>3905</v>
      </c>
      <c r="AW46" s="442">
        <f t="shared" si="32"/>
        <v>213123</v>
      </c>
      <c r="AX46" s="442">
        <f t="shared" si="32"/>
        <v>0</v>
      </c>
      <c r="AY46" s="442">
        <f t="shared" si="32"/>
        <v>0</v>
      </c>
      <c r="AZ46" s="442">
        <f t="shared" si="32"/>
        <v>3905</v>
      </c>
      <c r="BA46" s="442">
        <f t="shared" si="32"/>
        <v>0</v>
      </c>
      <c r="BB46" s="442">
        <f>ROUND(SUMPRODUCT($C15:$C44,BB15:BB44),)</f>
        <v>0</v>
      </c>
      <c r="BC46" s="442">
        <f>SUMPRODUCT($C15:$C44,BC15:BC44)</f>
        <v>0</v>
      </c>
      <c r="BD46" s="442">
        <f>ROUND(SUMPRODUCT($C15:$C44,BD15:BD44),)</f>
        <v>213123</v>
      </c>
      <c r="BE46" s="275"/>
      <c r="BF46" s="442">
        <f>ROUND(SUMPRODUCT($C15:$C44,BF15:BF44),)</f>
        <v>213123</v>
      </c>
      <c r="BG46" s="472">
        <f>SUMPRODUCT($C15:$C44,BG15:BG44)</f>
        <v>1401162</v>
      </c>
      <c r="BH46" s="41"/>
      <c r="BI46" s="472"/>
      <c r="BJ46" s="41">
        <f>SUMPRODUCT($C15:$C44,BJ15:BJ44)</f>
        <v>0</v>
      </c>
      <c r="BK46" s="477">
        <f>SUMPRODUCT($C15:$C44,BK15:BK44)</f>
        <v>1401162</v>
      </c>
      <c r="BM46" s="497">
        <f>SUMPRODUCT($C15:$C44,BM15:BM44)</f>
        <v>251</v>
      </c>
      <c r="BN46" s="489">
        <f>SUMPRODUCT($C15:$C44,BN15:BN44)</f>
        <v>0</v>
      </c>
    </row>
    <row r="47" spans="1:66" ht="15">
      <c r="A47" s="635" t="s">
        <v>143</v>
      </c>
      <c r="B47" s="636"/>
      <c r="C47" s="637"/>
      <c r="D47" s="85"/>
      <c r="E47" s="330"/>
      <c r="F47" s="485">
        <f aca="true" t="shared" si="33" ref="F47:V47">F45-F46</f>
        <v>25690</v>
      </c>
      <c r="G47" s="488">
        <f t="shared" si="33"/>
        <v>68</v>
      </c>
      <c r="H47" s="488">
        <f t="shared" si="33"/>
        <v>92.5</v>
      </c>
      <c r="I47" s="438">
        <f t="shared" si="33"/>
        <v>0</v>
      </c>
      <c r="J47" s="438">
        <f t="shared" si="33"/>
        <v>2636941</v>
      </c>
      <c r="K47" s="183">
        <f t="shared" si="33"/>
        <v>6188882</v>
      </c>
      <c r="L47" s="493">
        <f t="shared" si="33"/>
        <v>4653464</v>
      </c>
      <c r="M47" s="494">
        <f>M45-M46</f>
        <v>1317</v>
      </c>
      <c r="N47" s="492">
        <f>N45-N46</f>
        <v>0</v>
      </c>
      <c r="O47" s="440">
        <f>O45-O46</f>
        <v>-128</v>
      </c>
      <c r="P47" s="440">
        <f t="shared" si="33"/>
        <v>1189</v>
      </c>
      <c r="Q47" s="440">
        <f>Q45-Q46</f>
        <v>14</v>
      </c>
      <c r="R47" s="81"/>
      <c r="S47" s="440">
        <f>S45-S46</f>
        <v>258</v>
      </c>
      <c r="T47" s="482">
        <f t="shared" si="33"/>
        <v>2318363.566165601</v>
      </c>
      <c r="U47" s="500">
        <f>U45-U46</f>
        <v>30859.64525288851</v>
      </c>
      <c r="V47" s="501">
        <f t="shared" si="33"/>
        <v>16515.974649444746</v>
      </c>
      <c r="W47" s="476">
        <f>W45-W46</f>
        <v>2270990</v>
      </c>
      <c r="X47" s="530">
        <f>X45-X46</f>
        <v>0</v>
      </c>
      <c r="Y47" s="496">
        <f>Y45-Y46</f>
        <v>14</v>
      </c>
      <c r="Z47" s="183"/>
      <c r="AA47" s="496">
        <f>AA45-AA46</f>
        <v>0</v>
      </c>
      <c r="AB47" s="496">
        <f>AB45-AB46</f>
        <v>0</v>
      </c>
      <c r="AC47" s="183"/>
      <c r="AD47" s="438">
        <f>AD45-AD46</f>
        <v>199116.83573808914</v>
      </c>
      <c r="AE47" s="478">
        <f>AE45-AE46</f>
        <v>2517481</v>
      </c>
      <c r="AF47" s="288"/>
      <c r="AG47" s="289"/>
      <c r="AH47" s="289"/>
      <c r="AI47" s="289"/>
      <c r="AJ47" s="289"/>
      <c r="AK47" s="170"/>
      <c r="AL47" s="169"/>
      <c r="AM47" s="289"/>
      <c r="AN47" s="169"/>
      <c r="AO47" s="169"/>
      <c r="AP47" s="169"/>
      <c r="AQ47" s="179"/>
      <c r="AR47" s="482">
        <f aca="true" t="shared" si="34" ref="AR47:BK47">AR45-AR46</f>
        <v>25690</v>
      </c>
      <c r="AS47" s="496">
        <f t="shared" si="34"/>
        <v>5597</v>
      </c>
      <c r="AT47" s="496">
        <f t="shared" si="34"/>
        <v>5597</v>
      </c>
      <c r="AU47" s="496">
        <f t="shared" si="34"/>
        <v>2393</v>
      </c>
      <c r="AV47" s="482">
        <f t="shared" si="34"/>
        <v>23297</v>
      </c>
      <c r="AW47" s="482">
        <f t="shared" si="34"/>
        <v>1271479</v>
      </c>
      <c r="AX47" s="496">
        <f t="shared" si="34"/>
        <v>0</v>
      </c>
      <c r="AY47" s="496">
        <f t="shared" si="34"/>
        <v>0</v>
      </c>
      <c r="AZ47" s="482">
        <f t="shared" si="34"/>
        <v>25690</v>
      </c>
      <c r="BA47" s="482">
        <f t="shared" si="34"/>
        <v>0</v>
      </c>
      <c r="BB47" s="482">
        <f t="shared" si="34"/>
        <v>0</v>
      </c>
      <c r="BC47" s="482">
        <f t="shared" si="34"/>
        <v>0</v>
      </c>
      <c r="BD47" s="482">
        <f t="shared" si="34"/>
        <v>1271479</v>
      </c>
      <c r="BE47" s="289"/>
      <c r="BF47" s="482">
        <f t="shared" si="34"/>
        <v>1271479</v>
      </c>
      <c r="BG47" s="471">
        <f t="shared" si="34"/>
        <v>6425901</v>
      </c>
      <c r="BH47" s="175"/>
      <c r="BI47" s="471"/>
      <c r="BJ47" s="175">
        <f t="shared" si="34"/>
        <v>0</v>
      </c>
      <c r="BK47" s="478">
        <f t="shared" si="34"/>
        <v>6425901</v>
      </c>
      <c r="BM47" s="497">
        <f>BM45-BM46</f>
        <v>1029</v>
      </c>
      <c r="BN47" s="489">
        <f>BN45-BN46</f>
        <v>160</v>
      </c>
    </row>
    <row r="48" spans="1:66" ht="15">
      <c r="A48" s="184"/>
      <c r="B48" s="184"/>
      <c r="C48" s="345" t="s">
        <v>144</v>
      </c>
      <c r="D48" s="185"/>
      <c r="E48" s="331"/>
      <c r="F48" s="338"/>
      <c r="G48" s="186"/>
      <c r="H48" s="184"/>
      <c r="I48" s="184"/>
      <c r="J48" s="200"/>
      <c r="K48" s="187"/>
      <c r="L48" s="188"/>
      <c r="M48" s="335"/>
      <c r="N48" s="187">
        <f>N45-N4</f>
        <v>0</v>
      </c>
      <c r="O48" s="187"/>
      <c r="P48" s="187"/>
      <c r="Q48" s="184"/>
      <c r="R48" s="184"/>
      <c r="S48" s="184"/>
      <c r="T48" s="503">
        <f>T45-T4+T49-1</f>
        <v>-0.3086422188789584</v>
      </c>
      <c r="U48" s="107"/>
      <c r="V48" s="189"/>
      <c r="W48" s="536"/>
      <c r="X48" s="531"/>
      <c r="Y48" s="184"/>
      <c r="Z48" s="184"/>
      <c r="AA48" s="184"/>
      <c r="AB48" s="184"/>
      <c r="AC48" s="184"/>
      <c r="AD48" s="200">
        <f>AD45-AD4</f>
        <v>0</v>
      </c>
      <c r="AE48" s="479">
        <f>ROUND(AE45-AE4+T49,)-1</f>
        <v>0</v>
      </c>
      <c r="AF48" s="190"/>
      <c r="AG48" s="191"/>
      <c r="AH48" s="192"/>
      <c r="AI48" s="192"/>
      <c r="AJ48" s="192"/>
      <c r="AK48" s="193"/>
      <c r="AL48" s="194"/>
      <c r="AM48" s="194"/>
      <c r="AN48" s="192"/>
      <c r="AO48" s="195"/>
      <c r="AP48" s="179"/>
      <c r="AQ48" s="196"/>
      <c r="AR48" s="197"/>
      <c r="AS48" s="198"/>
      <c r="AT48" s="49">
        <f>AS45-AT45</f>
        <v>0</v>
      </c>
      <c r="AU48" s="198"/>
      <c r="AV48" s="199">
        <f>AR45-(AU45+AV45)</f>
        <v>0</v>
      </c>
      <c r="AW48" s="200"/>
      <c r="AX48" s="199"/>
      <c r="AY48" s="199"/>
      <c r="AZ48" s="200"/>
      <c r="BA48" s="200"/>
      <c r="BB48" s="200"/>
      <c r="BC48" s="290"/>
      <c r="BD48" s="291"/>
      <c r="BE48" s="192"/>
      <c r="BF48" s="200"/>
      <c r="BG48" s="292"/>
      <c r="BH48" s="201"/>
      <c r="BI48" s="292"/>
      <c r="BJ48" s="202"/>
      <c r="BK48" s="517">
        <f>BK45-BK4</f>
        <v>0</v>
      </c>
      <c r="BM48" s="468"/>
      <c r="BN48" s="188"/>
    </row>
    <row r="49" spans="1:66" ht="15">
      <c r="A49" s="184"/>
      <c r="B49" s="203" t="s">
        <v>145</v>
      </c>
      <c r="C49" s="345"/>
      <c r="D49" s="204"/>
      <c r="E49" s="332"/>
      <c r="F49" s="339"/>
      <c r="G49" s="21"/>
      <c r="H49" s="203"/>
      <c r="I49" s="61"/>
      <c r="J49" s="504">
        <v>900049</v>
      </c>
      <c r="K49" s="205">
        <v>686235</v>
      </c>
      <c r="L49" s="206">
        <v>595700</v>
      </c>
      <c r="M49" s="336"/>
      <c r="N49" s="293"/>
      <c r="O49" s="498">
        <f>-O45</f>
        <v>128</v>
      </c>
      <c r="P49" s="498">
        <f>O49</f>
        <v>128</v>
      </c>
      <c r="Q49" s="293">
        <v>3</v>
      </c>
      <c r="R49" s="440">
        <f>SUM(R15:R44)</f>
        <v>3</v>
      </c>
      <c r="S49" s="505">
        <f>-ROUND(($Q$8*(SUMIF($C$15:$C$63,1,$O$15:$O$63))+($O$8*(SUMIF($C$15:$C$63,0,$O$15:$O$63)))),)</f>
        <v>28</v>
      </c>
      <c r="T49" s="438">
        <f>V49+W49+U49</f>
        <v>250291.69135778112</v>
      </c>
      <c r="U49" s="350">
        <f>$BM49*$BM$13*1000</f>
        <v>3838.6913577811256</v>
      </c>
      <c r="V49" s="350"/>
      <c r="W49" s="476">
        <f>ROUND((S49*$P$8)*1000,)</f>
        <v>246453</v>
      </c>
      <c r="X49" s="532"/>
      <c r="Y49" s="203"/>
      <c r="Z49" s="203"/>
      <c r="AA49" s="203"/>
      <c r="AB49" s="203"/>
      <c r="AC49" s="203"/>
      <c r="AD49" s="480">
        <v>27575499</v>
      </c>
      <c r="AE49" s="481">
        <f>SUM(T49+AD49)</f>
        <v>27825790.69135778</v>
      </c>
      <c r="AF49" s="207"/>
      <c r="AG49" s="208"/>
      <c r="AH49" s="195"/>
      <c r="AI49" s="195"/>
      <c r="AJ49" s="195"/>
      <c r="AK49" s="209"/>
      <c r="AL49" s="194"/>
      <c r="AM49" s="194"/>
      <c r="AN49" s="294"/>
      <c r="AO49" s="295"/>
      <c r="AP49" s="296"/>
      <c r="AQ49" s="282"/>
      <c r="AR49" s="197"/>
      <c r="AS49" s="198"/>
      <c r="AT49" s="297"/>
      <c r="AU49" s="62"/>
      <c r="AV49" s="500">
        <f>AU45</f>
        <v>2393</v>
      </c>
      <c r="AW49" s="438">
        <f>ROUND(AV49*Нkk,-1)+2</f>
        <v>130602</v>
      </c>
      <c r="AX49" s="107"/>
      <c r="AY49" s="107"/>
      <c r="AZ49" s="298"/>
      <c r="BA49" s="501">
        <f>AZ45</f>
        <v>29595</v>
      </c>
      <c r="BB49" s="438">
        <f>ROUND(BA49*Нkb,)</f>
        <v>3135396</v>
      </c>
      <c r="BC49" s="299"/>
      <c r="BD49" s="487">
        <f>AW49+BB49</f>
        <v>3265998</v>
      </c>
      <c r="BE49" s="294"/>
      <c r="BF49" s="487">
        <f>BD49+BE49</f>
        <v>3265998</v>
      </c>
      <c r="BG49" s="476">
        <f>J49+AE49+AN49+BF49</f>
        <v>31991837.69135778</v>
      </c>
      <c r="BH49" s="175"/>
      <c r="BI49" s="471"/>
      <c r="BJ49" s="300">
        <v>300700</v>
      </c>
      <c r="BK49" s="478">
        <f>BG49+BJ49</f>
        <v>32292537.69135778</v>
      </c>
      <c r="BM49" s="525">
        <v>128</v>
      </c>
      <c r="BN49" s="526"/>
    </row>
    <row r="50" spans="1:66" ht="15">
      <c r="A50" s="210"/>
      <c r="B50" s="211" t="s">
        <v>91</v>
      </c>
      <c r="C50" s="345"/>
      <c r="D50" s="204"/>
      <c r="E50" s="332"/>
      <c r="F50" s="506">
        <f>F45</f>
        <v>29595</v>
      </c>
      <c r="G50" s="212"/>
      <c r="H50" s="211"/>
      <c r="I50" s="439">
        <f>SUM(I45+I49)</f>
        <v>0</v>
      </c>
      <c r="J50" s="439">
        <f>SUM(J45+J49)</f>
        <v>3749400</v>
      </c>
      <c r="K50" s="507">
        <f>SUM(K45+K49)</f>
        <v>7166185</v>
      </c>
      <c r="L50" s="508">
        <f>SUM(L45+L49)</f>
        <v>5466864</v>
      </c>
      <c r="M50" s="509">
        <f>M45+M49</f>
        <v>1568</v>
      </c>
      <c r="N50" s="439">
        <f>N45+N49</f>
        <v>0</v>
      </c>
      <c r="O50" s="439">
        <f>O45+O49</f>
        <v>0</v>
      </c>
      <c r="P50" s="439">
        <f>P45+P49</f>
        <v>1568</v>
      </c>
      <c r="Q50" s="439">
        <f>Q45+Q49</f>
        <v>21</v>
      </c>
      <c r="R50" s="439">
        <f>R49</f>
        <v>3</v>
      </c>
      <c r="S50" s="439">
        <f>S45+S49</f>
        <v>386</v>
      </c>
      <c r="T50" s="510">
        <v>3544284</v>
      </c>
      <c r="U50" s="507">
        <f>ROUND(U45+U49,)</f>
        <v>42226</v>
      </c>
      <c r="V50" s="507">
        <f>ROUND(V45+V49,)</f>
        <v>16516</v>
      </c>
      <c r="W50" s="512">
        <f>ROUND(W45+W49,)</f>
        <v>3485545</v>
      </c>
      <c r="X50" s="533">
        <f aca="true" t="shared" si="35" ref="X50:AC50">X45+X49</f>
        <v>0</v>
      </c>
      <c r="Y50" s="507">
        <f t="shared" si="35"/>
        <v>14</v>
      </c>
      <c r="Z50" s="511">
        <f t="shared" si="35"/>
        <v>1.751</v>
      </c>
      <c r="AA50" s="511">
        <f t="shared" si="35"/>
        <v>0</v>
      </c>
      <c r="AB50" s="511">
        <f t="shared" si="35"/>
        <v>0</v>
      </c>
      <c r="AC50" s="511">
        <f t="shared" si="35"/>
        <v>0</v>
      </c>
      <c r="AD50" s="439">
        <v>27774616</v>
      </c>
      <c r="AE50" s="512">
        <v>31318900</v>
      </c>
      <c r="AF50" s="301"/>
      <c r="AG50" s="302"/>
      <c r="AH50" s="302"/>
      <c r="AI50" s="302"/>
      <c r="AJ50" s="302"/>
      <c r="AK50" s="303"/>
      <c r="AL50" s="302"/>
      <c r="AM50" s="302"/>
      <c r="AN50" s="302"/>
      <c r="AO50" s="302"/>
      <c r="AP50" s="302"/>
      <c r="AQ50" s="304"/>
      <c r="AR50" s="513">
        <f aca="true" t="shared" si="36" ref="AR50:BC50">AR45+AR49</f>
        <v>29595</v>
      </c>
      <c r="AS50" s="507">
        <f t="shared" si="36"/>
        <v>5597</v>
      </c>
      <c r="AT50" s="507">
        <f t="shared" si="36"/>
        <v>5597</v>
      </c>
      <c r="AU50" s="507">
        <f t="shared" si="36"/>
        <v>2393</v>
      </c>
      <c r="AV50" s="507">
        <f t="shared" si="36"/>
        <v>29595</v>
      </c>
      <c r="AW50" s="439">
        <f>ROUND(AW45+AW49,0)</f>
        <v>1615204</v>
      </c>
      <c r="AX50" s="507">
        <f t="shared" si="36"/>
        <v>0</v>
      </c>
      <c r="AY50" s="507">
        <f t="shared" si="36"/>
        <v>0</v>
      </c>
      <c r="AZ50" s="439">
        <f t="shared" si="36"/>
        <v>29595</v>
      </c>
      <c r="BA50" s="439">
        <f t="shared" si="36"/>
        <v>29595</v>
      </c>
      <c r="BB50" s="439"/>
      <c r="BC50" s="439">
        <f t="shared" si="36"/>
        <v>0</v>
      </c>
      <c r="BD50" s="441">
        <v>4750600</v>
      </c>
      <c r="BE50" s="302"/>
      <c r="BF50" s="439">
        <v>4750600</v>
      </c>
      <c r="BG50" s="471">
        <v>39818900</v>
      </c>
      <c r="BH50" s="175"/>
      <c r="BI50" s="471"/>
      <c r="BJ50" s="514">
        <v>300700</v>
      </c>
      <c r="BK50" s="518">
        <v>40119600</v>
      </c>
      <c r="BM50" s="515">
        <f>BM45+BM49</f>
        <v>1408</v>
      </c>
      <c r="BN50" s="516">
        <f>BN45+BN49</f>
        <v>160</v>
      </c>
    </row>
    <row r="51" spans="1:66" ht="15.75" thickBot="1">
      <c r="A51" s="213"/>
      <c r="B51" s="214" t="s">
        <v>146</v>
      </c>
      <c r="C51" s="346"/>
      <c r="D51" s="215"/>
      <c r="E51" s="333"/>
      <c r="F51" s="230">
        <v>29595</v>
      </c>
      <c r="G51" s="216"/>
      <c r="H51" s="216"/>
      <c r="I51" s="217"/>
      <c r="J51" s="218">
        <v>3749400</v>
      </c>
      <c r="K51" s="216"/>
      <c r="L51" s="219"/>
      <c r="M51" s="337">
        <v>1568</v>
      </c>
      <c r="N51" s="220"/>
      <c r="O51" s="220"/>
      <c r="P51" s="220">
        <v>1568</v>
      </c>
      <c r="Q51" s="220"/>
      <c r="R51" s="220"/>
      <c r="S51" s="220">
        <v>386</v>
      </c>
      <c r="T51" s="271">
        <v>3544284</v>
      </c>
      <c r="U51" s="221">
        <v>42226</v>
      </c>
      <c r="V51" s="220">
        <v>16516</v>
      </c>
      <c r="W51" s="537"/>
      <c r="X51" s="534"/>
      <c r="Y51" s="222"/>
      <c r="Z51" s="222"/>
      <c r="AA51" s="222"/>
      <c r="AB51" s="222"/>
      <c r="AC51" s="222"/>
      <c r="AD51" s="223">
        <v>27774616</v>
      </c>
      <c r="AE51" s="108">
        <v>31318900</v>
      </c>
      <c r="AF51" s="224"/>
      <c r="AG51" s="225"/>
      <c r="AH51" s="225"/>
      <c r="AI51" s="226"/>
      <c r="AJ51" s="225"/>
      <c r="AK51" s="227"/>
      <c r="AL51" s="225"/>
      <c r="AM51" s="228"/>
      <c r="AN51" s="228"/>
      <c r="AO51" s="228"/>
      <c r="AP51" s="305"/>
      <c r="AQ51" s="229"/>
      <c r="AR51" s="230"/>
      <c r="AS51" s="231"/>
      <c r="AT51" s="231"/>
      <c r="AU51" s="231"/>
      <c r="AV51" s="232"/>
      <c r="AW51" s="218"/>
      <c r="AX51" s="231"/>
      <c r="AY51" s="231"/>
      <c r="AZ51" s="218"/>
      <c r="BA51" s="218"/>
      <c r="BB51" s="306"/>
      <c r="BC51" s="306"/>
      <c r="BD51" s="233">
        <v>4750600</v>
      </c>
      <c r="BE51" s="228"/>
      <c r="BF51" s="306">
        <v>4750600</v>
      </c>
      <c r="BG51" s="307">
        <v>39818900</v>
      </c>
      <c r="BH51" s="234"/>
      <c r="BI51" s="473"/>
      <c r="BJ51" s="234">
        <v>300700</v>
      </c>
      <c r="BK51" s="519">
        <v>40119600</v>
      </c>
      <c r="BM51" s="469">
        <v>1408</v>
      </c>
      <c r="BN51" s="470">
        <v>160</v>
      </c>
    </row>
    <row r="52" spans="3:66" s="235" customFormat="1" ht="15">
      <c r="C52" s="347"/>
      <c r="F52" s="236">
        <f>F51-F50</f>
        <v>0</v>
      </c>
      <c r="I52" s="236"/>
      <c r="J52" s="236">
        <f>J51-J50</f>
        <v>0</v>
      </c>
      <c r="M52" s="236">
        <f>M51-M50</f>
        <v>0</v>
      </c>
      <c r="P52" s="236">
        <f>P51-P50</f>
        <v>0</v>
      </c>
      <c r="Q52" s="236"/>
      <c r="R52" s="236"/>
      <c r="S52" s="236">
        <f>S51-S50</f>
        <v>0</v>
      </c>
      <c r="T52" s="520">
        <f>T51-T50</f>
        <v>0</v>
      </c>
      <c r="U52" s="236">
        <f>U51-U50</f>
        <v>0</v>
      </c>
      <c r="V52" s="236">
        <f>V51-V50</f>
        <v>0</v>
      </c>
      <c r="Y52" s="40"/>
      <c r="Z52" s="237"/>
      <c r="AA52" s="238"/>
      <c r="AC52" s="237"/>
      <c r="AD52" s="521">
        <f>AD51-AD50</f>
        <v>0</v>
      </c>
      <c r="AE52" s="522">
        <f>AE51-AE50</f>
        <v>0</v>
      </c>
      <c r="AF52" s="239"/>
      <c r="AG52" s="239"/>
      <c r="AH52" s="239"/>
      <c r="AI52" s="239"/>
      <c r="AJ52" s="239"/>
      <c r="AK52" s="238"/>
      <c r="AL52" s="239"/>
      <c r="AM52" s="308"/>
      <c r="AN52" s="308"/>
      <c r="AO52" s="240"/>
      <c r="AP52" s="240"/>
      <c r="AQ52" s="240"/>
      <c r="AU52" s="236"/>
      <c r="AV52" s="236"/>
      <c r="AW52" s="236"/>
      <c r="BB52" s="236"/>
      <c r="BC52" s="236"/>
      <c r="BD52" s="236">
        <f>BD51-BD50</f>
        <v>0</v>
      </c>
      <c r="BE52" s="236"/>
      <c r="BF52" s="236">
        <f>BF50-BF51</f>
        <v>0</v>
      </c>
      <c r="BG52" s="236">
        <f>BG50-BG51</f>
        <v>0</v>
      </c>
      <c r="BH52" s="236">
        <f>BH51-BH50</f>
        <v>0</v>
      </c>
      <c r="BI52" s="523">
        <f>BI51-BI50</f>
        <v>0</v>
      </c>
      <c r="BJ52" s="236">
        <f>BJ51-BJ50</f>
        <v>0</v>
      </c>
      <c r="BK52" s="520">
        <f>BK51-BK50</f>
        <v>0</v>
      </c>
      <c r="BM52" s="236">
        <f>BM51-BM50</f>
        <v>0</v>
      </c>
      <c r="BN52" s="236">
        <f>BN51-BN50</f>
        <v>0</v>
      </c>
    </row>
    <row r="53" spans="6:66" ht="15">
      <c r="F53" s="241"/>
      <c r="I53" s="241"/>
      <c r="J53" s="242"/>
      <c r="T53" s="243"/>
      <c r="U53" s="244"/>
      <c r="V53" s="244"/>
      <c r="Y53" s="39"/>
      <c r="Z53" s="245"/>
      <c r="AA53" s="113"/>
      <c r="AC53" s="245"/>
      <c r="AD53" s="113"/>
      <c r="AE53" s="113"/>
      <c r="AF53" s="246"/>
      <c r="AG53" s="246"/>
      <c r="AH53" s="246"/>
      <c r="AI53" s="246"/>
      <c r="AJ53" s="246"/>
      <c r="AK53" s="113"/>
      <c r="AL53" s="247"/>
      <c r="AM53" s="248"/>
      <c r="AN53" s="249"/>
      <c r="AO53" s="249"/>
      <c r="AP53" s="249"/>
      <c r="AQ53" s="249"/>
      <c r="AU53" s="246"/>
      <c r="BM53" s="342"/>
      <c r="BN53" s="342"/>
    </row>
    <row r="54" spans="6:66" ht="15">
      <c r="F54" s="241"/>
      <c r="N54" s="250"/>
      <c r="O54" s="250"/>
      <c r="P54" s="250"/>
      <c r="Q54" s="250"/>
      <c r="R54" s="250"/>
      <c r="S54" s="250"/>
      <c r="X54" s="538"/>
      <c r="Y54" s="539"/>
      <c r="Z54" s="540"/>
      <c r="AA54" s="541"/>
      <c r="AB54" s="538"/>
      <c r="AC54" s="540"/>
      <c r="AD54" s="541"/>
      <c r="AE54" s="541"/>
      <c r="AF54" s="246"/>
      <c r="AG54" s="246"/>
      <c r="AH54" s="246"/>
      <c r="AI54" s="246"/>
      <c r="AJ54" s="246"/>
      <c r="AK54" s="113"/>
      <c r="AL54" s="246"/>
      <c r="AM54" s="249"/>
      <c r="AN54" s="248"/>
      <c r="AO54" s="248"/>
      <c r="AP54" s="249"/>
      <c r="AQ54" s="249"/>
      <c r="AU54" s="246"/>
      <c r="BD54" s="241"/>
      <c r="BG54" s="241"/>
      <c r="BM54" s="318"/>
      <c r="BN54" s="318"/>
    </row>
    <row r="55" spans="3:66" ht="12.75" customHeight="1">
      <c r="C55" s="349"/>
      <c r="D55" s="113"/>
      <c r="E55" s="113"/>
      <c r="F55" s="251"/>
      <c r="G55" s="252"/>
      <c r="H55" s="252"/>
      <c r="I55" s="252"/>
      <c r="J55" s="252"/>
      <c r="K55" s="252"/>
      <c r="L55" s="252"/>
      <c r="M55" s="253"/>
      <c r="N55" s="254"/>
      <c r="O55" s="254"/>
      <c r="P55" s="254"/>
      <c r="Q55" s="255"/>
      <c r="R55" s="255"/>
      <c r="S55" s="254"/>
      <c r="T55" s="255"/>
      <c r="U55" s="255"/>
      <c r="V55" s="255"/>
      <c r="W55" s="255"/>
      <c r="X55" s="255"/>
      <c r="Y55" s="42"/>
      <c r="Z55" s="256"/>
      <c r="AA55" s="254"/>
      <c r="AB55" s="257"/>
      <c r="AC55" s="256"/>
      <c r="AD55" s="258"/>
      <c r="AE55" s="254"/>
      <c r="AF55" s="259"/>
      <c r="AG55" s="259"/>
      <c r="AH55" s="259"/>
      <c r="AI55" s="259"/>
      <c r="AJ55" s="259"/>
      <c r="AK55" s="260"/>
      <c r="AL55" s="259"/>
      <c r="AM55" s="261"/>
      <c r="AN55" s="261"/>
      <c r="AO55" s="261"/>
      <c r="AP55" s="261"/>
      <c r="AQ55" s="261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561"/>
      <c r="BH55" s="561"/>
      <c r="BI55" s="561"/>
      <c r="BJ55" s="561"/>
      <c r="BK55" s="561"/>
      <c r="BM55" s="255"/>
      <c r="BN55" s="255"/>
    </row>
    <row r="56" spans="6:66" ht="15">
      <c r="F56" s="241"/>
      <c r="M56" s="241"/>
      <c r="Z56" s="250"/>
      <c r="AF56" s="246"/>
      <c r="AG56" s="246"/>
      <c r="AH56" s="246"/>
      <c r="AI56" s="246"/>
      <c r="AJ56" s="246"/>
      <c r="AL56" s="246" t="s">
        <v>8</v>
      </c>
      <c r="AM56" s="262"/>
      <c r="AN56" s="262"/>
      <c r="AO56" s="262"/>
      <c r="AP56" s="262"/>
      <c r="AQ56" s="262"/>
      <c r="AU56" s="246"/>
      <c r="BM56" s="263"/>
      <c r="BN56" s="263"/>
    </row>
    <row r="57" spans="6:66" ht="15">
      <c r="F57" s="241"/>
      <c r="M57" s="250"/>
      <c r="AF57" s="246"/>
      <c r="AG57" s="246"/>
      <c r="AH57" s="246"/>
      <c r="AI57" s="246"/>
      <c r="AJ57" s="246"/>
      <c r="AL57" s="246"/>
      <c r="AM57" s="262"/>
      <c r="AN57" s="262"/>
      <c r="AO57" s="262"/>
      <c r="AP57" s="262"/>
      <c r="AQ57" s="262"/>
      <c r="AU57" s="246"/>
      <c r="BM57" s="264"/>
      <c r="BN57" s="264"/>
    </row>
    <row r="58" spans="6:66" ht="15">
      <c r="F58" s="241"/>
      <c r="M58" s="250"/>
      <c r="AF58" s="246"/>
      <c r="AG58" s="246"/>
      <c r="AH58" s="246"/>
      <c r="AI58" s="246"/>
      <c r="AJ58" s="246"/>
      <c r="AL58" s="246"/>
      <c r="AM58" s="262"/>
      <c r="AN58" s="262"/>
      <c r="AO58" s="262"/>
      <c r="AP58" s="262"/>
      <c r="AQ58" s="262"/>
      <c r="AU58" s="246"/>
      <c r="BM58" s="265"/>
      <c r="BN58" s="265"/>
    </row>
    <row r="59" spans="6:66" ht="15">
      <c r="F59" s="241"/>
      <c r="M59" s="250"/>
      <c r="AF59" s="246"/>
      <c r="AG59" s="246"/>
      <c r="AH59" s="246"/>
      <c r="AI59" s="246"/>
      <c r="AJ59" s="246"/>
      <c r="AL59" s="246"/>
      <c r="AM59" s="262"/>
      <c r="AN59" s="262"/>
      <c r="AO59" s="262"/>
      <c r="AP59" s="262"/>
      <c r="AQ59" s="262"/>
      <c r="AU59" s="246"/>
      <c r="BM59" s="266"/>
      <c r="BN59" s="266"/>
    </row>
    <row r="60" spans="6:47" ht="15">
      <c r="F60" s="241"/>
      <c r="M60" s="250"/>
      <c r="AF60" s="246"/>
      <c r="AG60" s="246"/>
      <c r="AH60" s="246"/>
      <c r="AI60" s="246"/>
      <c r="AJ60" s="246"/>
      <c r="AL60" s="246"/>
      <c r="AM60" s="262"/>
      <c r="AN60" s="262"/>
      <c r="AO60" s="262"/>
      <c r="AP60" s="262"/>
      <c r="AQ60" s="262"/>
      <c r="AU60" s="246"/>
    </row>
    <row r="61" spans="6:47" ht="15">
      <c r="F61" s="241"/>
      <c r="J61" s="242"/>
      <c r="K61" s="242"/>
      <c r="AF61" s="246"/>
      <c r="AG61" s="246"/>
      <c r="AH61" s="246"/>
      <c r="AI61" s="246"/>
      <c r="AJ61" s="246"/>
      <c r="AL61" s="246"/>
      <c r="AM61" s="262"/>
      <c r="AN61" s="262"/>
      <c r="AO61" s="262"/>
      <c r="AP61" s="262"/>
      <c r="AQ61" s="262"/>
      <c r="AU61" s="246"/>
    </row>
    <row r="62" spans="6:47" ht="15">
      <c r="F62" s="241"/>
      <c r="AF62" s="246"/>
      <c r="AG62" s="246"/>
      <c r="AH62" s="246"/>
      <c r="AI62" s="246"/>
      <c r="AJ62" s="246"/>
      <c r="AL62" s="246"/>
      <c r="AM62" s="262"/>
      <c r="AN62" s="262"/>
      <c r="AO62" s="262"/>
      <c r="AP62" s="262"/>
      <c r="AQ62" s="262"/>
      <c r="AU62" s="246"/>
    </row>
    <row r="63" spans="6:47" ht="15">
      <c r="F63" s="241"/>
      <c r="AF63" s="246"/>
      <c r="AG63" s="246"/>
      <c r="AH63" s="246"/>
      <c r="AI63" s="246"/>
      <c r="AJ63" s="246"/>
      <c r="AL63" s="246"/>
      <c r="AM63" s="262"/>
      <c r="AN63" s="262"/>
      <c r="AO63" s="262"/>
      <c r="AP63" s="262"/>
      <c r="AQ63" s="262"/>
      <c r="AU63" s="246"/>
    </row>
    <row r="64" spans="6:47" ht="15">
      <c r="F64" s="241"/>
      <c r="AF64" s="246"/>
      <c r="AG64" s="246"/>
      <c r="AH64" s="246"/>
      <c r="AI64" s="246"/>
      <c r="AJ64" s="246"/>
      <c r="AL64" s="246"/>
      <c r="AM64" s="262"/>
      <c r="AN64" s="262"/>
      <c r="AO64" s="262"/>
      <c r="AP64" s="262"/>
      <c r="AQ64" s="262"/>
      <c r="AU64" s="246"/>
    </row>
    <row r="65" spans="6:47" ht="15">
      <c r="F65" s="241"/>
      <c r="T65" s="242"/>
      <c r="AF65" s="246"/>
      <c r="AG65" s="246"/>
      <c r="AH65" s="246"/>
      <c r="AI65" s="246"/>
      <c r="AJ65" s="246"/>
      <c r="AL65" s="246"/>
      <c r="AM65" s="262"/>
      <c r="AN65" s="262"/>
      <c r="AO65" s="262"/>
      <c r="AP65" s="262"/>
      <c r="AQ65" s="262"/>
      <c r="AU65" s="246"/>
    </row>
    <row r="66" spans="6:47" ht="15">
      <c r="F66" s="241"/>
      <c r="AF66" s="246"/>
      <c r="AG66" s="246"/>
      <c r="AH66" s="246"/>
      <c r="AI66" s="246"/>
      <c r="AJ66" s="246"/>
      <c r="AL66" s="246"/>
      <c r="AM66" s="262"/>
      <c r="AN66" s="262"/>
      <c r="AO66" s="262"/>
      <c r="AP66" s="262"/>
      <c r="AQ66" s="262"/>
      <c r="AU66" s="246"/>
    </row>
    <row r="67" spans="6:47" ht="15">
      <c r="F67" s="241"/>
      <c r="T67" s="242"/>
      <c r="AF67" s="246"/>
      <c r="AG67" s="246"/>
      <c r="AH67" s="246"/>
      <c r="AI67" s="246"/>
      <c r="AJ67" s="246"/>
      <c r="AL67" s="246"/>
      <c r="AM67" s="262"/>
      <c r="AN67" s="262"/>
      <c r="AO67" s="262"/>
      <c r="AP67" s="262"/>
      <c r="AQ67" s="262"/>
      <c r="AU67" s="246"/>
    </row>
    <row r="68" spans="32:47" ht="15">
      <c r="AF68" s="246"/>
      <c r="AG68" s="246"/>
      <c r="AH68" s="246"/>
      <c r="AI68" s="246"/>
      <c r="AJ68" s="246"/>
      <c r="AL68" s="246"/>
      <c r="AM68" s="262"/>
      <c r="AN68" s="262"/>
      <c r="AO68" s="262"/>
      <c r="AP68" s="262"/>
      <c r="AQ68" s="262"/>
      <c r="AU68" s="246"/>
    </row>
    <row r="69" spans="32:47" ht="15">
      <c r="AF69" s="246"/>
      <c r="AG69" s="246"/>
      <c r="AH69" s="246"/>
      <c r="AI69" s="246"/>
      <c r="AJ69" s="246"/>
      <c r="AL69" s="246"/>
      <c r="AM69" s="262"/>
      <c r="AN69" s="262"/>
      <c r="AO69" s="262"/>
      <c r="AP69" s="262"/>
      <c r="AQ69" s="262"/>
      <c r="AU69" s="246"/>
    </row>
    <row r="70" spans="32:47" ht="15">
      <c r="AF70" s="246"/>
      <c r="AG70" s="246"/>
      <c r="AH70" s="246"/>
      <c r="AI70" s="246"/>
      <c r="AJ70" s="246"/>
      <c r="AL70" s="246"/>
      <c r="AM70" s="262"/>
      <c r="AN70" s="262"/>
      <c r="AO70" s="262"/>
      <c r="AP70" s="262"/>
      <c r="AQ70" s="262"/>
      <c r="AU70" s="246"/>
    </row>
    <row r="71" spans="32:47" ht="15">
      <c r="AF71" s="246"/>
      <c r="AG71" s="246"/>
      <c r="AH71" s="246"/>
      <c r="AI71" s="246"/>
      <c r="AJ71" s="246"/>
      <c r="AL71" s="246"/>
      <c r="AM71" s="262"/>
      <c r="AN71" s="262"/>
      <c r="AO71" s="262"/>
      <c r="AP71" s="262"/>
      <c r="AQ71" s="262"/>
      <c r="AU71" s="246"/>
    </row>
    <row r="72" spans="32:47" ht="15">
      <c r="AF72" s="246"/>
      <c r="AG72" s="246"/>
      <c r="AH72" s="246"/>
      <c r="AI72" s="246"/>
      <c r="AJ72" s="246"/>
      <c r="AL72" s="246"/>
      <c r="AM72" s="262"/>
      <c r="AN72" s="262"/>
      <c r="AO72" s="262"/>
      <c r="AP72" s="262"/>
      <c r="AQ72" s="262"/>
      <c r="AU72" s="246"/>
    </row>
    <row r="73" spans="32:47" ht="15">
      <c r="AF73" s="246"/>
      <c r="AG73" s="246"/>
      <c r="AH73" s="246"/>
      <c r="AI73" s="246"/>
      <c r="AJ73" s="246"/>
      <c r="AL73" s="246"/>
      <c r="AM73" s="262"/>
      <c r="AN73" s="262"/>
      <c r="AO73" s="262"/>
      <c r="AP73" s="262"/>
      <c r="AQ73" s="262"/>
      <c r="AU73" s="246"/>
    </row>
    <row r="74" spans="32:47" ht="15">
      <c r="AF74" s="246"/>
      <c r="AG74" s="246"/>
      <c r="AH74" s="246"/>
      <c r="AI74" s="246"/>
      <c r="AJ74" s="246"/>
      <c r="AL74" s="246"/>
      <c r="AM74" s="246"/>
      <c r="AN74" s="246"/>
      <c r="AO74" s="246"/>
      <c r="AP74" s="246"/>
      <c r="AQ74" s="246"/>
      <c r="AU74" s="246"/>
    </row>
    <row r="75" spans="32:47" ht="15">
      <c r="AF75" s="246"/>
      <c r="AG75" s="246"/>
      <c r="AH75" s="246"/>
      <c r="AI75" s="246"/>
      <c r="AJ75" s="246"/>
      <c r="AL75" s="246"/>
      <c r="AM75" s="246"/>
      <c r="AN75" s="246"/>
      <c r="AO75" s="246"/>
      <c r="AP75" s="246"/>
      <c r="AQ75" s="246"/>
      <c r="AU75" s="246"/>
    </row>
  </sheetData>
  <sheetProtection password="CD40" sheet="1" formatCells="0" formatColumns="0" formatRows="0" deleteRows="0" autoFilter="0"/>
  <mergeCells count="60">
    <mergeCell ref="BQ14:BR14"/>
    <mergeCell ref="BM11:BN11"/>
    <mergeCell ref="BF12:BF14"/>
    <mergeCell ref="AX12:AX14"/>
    <mergeCell ref="BK11:BK14"/>
    <mergeCell ref="BE12:BE14"/>
    <mergeCell ref="BC12:BC14"/>
    <mergeCell ref="BH11:BH14"/>
    <mergeCell ref="BD12:BD14"/>
    <mergeCell ref="AY12:AY14"/>
    <mergeCell ref="AR11:BF11"/>
    <mergeCell ref="AH12:AH14"/>
    <mergeCell ref="D11:D14"/>
    <mergeCell ref="C11:C14"/>
    <mergeCell ref="AG12:AG14"/>
    <mergeCell ref="AF12:AF14"/>
    <mergeCell ref="AT12:AT14"/>
    <mergeCell ref="AR12:AR14"/>
    <mergeCell ref="AQ12:AQ14"/>
    <mergeCell ref="AI12:AI14"/>
    <mergeCell ref="BJ11:BJ14"/>
    <mergeCell ref="M12:M14"/>
    <mergeCell ref="B11:B14"/>
    <mergeCell ref="AB12:AB14"/>
    <mergeCell ref="Z12:Z14"/>
    <mergeCell ref="AE12:AE14"/>
    <mergeCell ref="O12:O14"/>
    <mergeCell ref="R12:R14"/>
    <mergeCell ref="E11:E14"/>
    <mergeCell ref="X12:X14"/>
    <mergeCell ref="A11:A14"/>
    <mergeCell ref="BI11:BI14"/>
    <mergeCell ref="BG11:BG14"/>
    <mergeCell ref="AC12:AC14"/>
    <mergeCell ref="BB12:BB14"/>
    <mergeCell ref="AP12:AP14"/>
    <mergeCell ref="AN12:AN14"/>
    <mergeCell ref="AS12:AS14"/>
    <mergeCell ref="AO12:AO14"/>
    <mergeCell ref="L12:L14"/>
    <mergeCell ref="A47:C47"/>
    <mergeCell ref="A46:C46"/>
    <mergeCell ref="K12:K14"/>
    <mergeCell ref="M11:AE11"/>
    <mergeCell ref="F11:L11"/>
    <mergeCell ref="V12:V14"/>
    <mergeCell ref="A45:C45"/>
    <mergeCell ref="U12:U14"/>
    <mergeCell ref="N12:N14"/>
    <mergeCell ref="Y12:Y14"/>
    <mergeCell ref="A1:L1"/>
    <mergeCell ref="M2:W2"/>
    <mergeCell ref="AA12:AA14"/>
    <mergeCell ref="W12:W14"/>
    <mergeCell ref="X2:AE2"/>
    <mergeCell ref="F2:L2"/>
    <mergeCell ref="B10:BK10"/>
    <mergeCell ref="AR2:BF2"/>
    <mergeCell ref="B7:B8"/>
    <mergeCell ref="AW12:AW14"/>
  </mergeCells>
  <printOptions horizontalCentered="1"/>
  <pageMargins left="0.61" right="0.09" top="0.47" bottom="0.06" header="0.29" footer="0.05"/>
  <pageSetup fitToWidth="6" fitToHeight="1" horizontalDpi="600" verticalDpi="600" orientation="portrait" paperSize="9" scale="52" r:id="rId3"/>
  <headerFooter alignWithMargins="0">
    <oddHeader>&amp;R8</oddHeader>
  </headerFooter>
  <colBreaks count="3" manualBreakCount="3">
    <brk id="12" max="70" man="1"/>
    <brk id="43" max="70" man="1"/>
    <brk id="58" max="7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4:J46"/>
  <sheetViews>
    <sheetView zoomScale="90" zoomScaleNormal="90" zoomScalePageLayoutView="0" workbookViewId="0" topLeftCell="A1">
      <selection activeCell="G2" sqref="G2"/>
    </sheetView>
  </sheetViews>
  <sheetFormatPr defaultColWidth="9.00390625" defaultRowHeight="12.75"/>
  <cols>
    <col min="1" max="1" width="10.875" style="53" customWidth="1"/>
    <col min="2" max="2" width="23.625" style="8" customWidth="1"/>
    <col min="3" max="3" width="15.625" style="8" customWidth="1"/>
    <col min="4" max="4" width="12.875" style="8" customWidth="1"/>
    <col min="5" max="5" width="14.875" style="8" customWidth="1"/>
    <col min="6" max="6" width="18.875" style="8" customWidth="1"/>
    <col min="7" max="7" width="14.75390625" style="8" customWidth="1"/>
    <col min="8" max="8" width="14.875" style="8" customWidth="1"/>
    <col min="9" max="9" width="12.25390625" style="8" customWidth="1"/>
    <col min="10" max="10" width="12.375" style="8" customWidth="1"/>
    <col min="11" max="11" width="11.375" style="8" bestFit="1" customWidth="1"/>
    <col min="12" max="16384" width="9.125" style="8" customWidth="1"/>
  </cols>
  <sheetData>
    <row r="1" ht="12.75"/>
    <row r="2" ht="12.75"/>
    <row r="3" ht="12.75"/>
    <row r="4" spans="1:9" s="5" customFormat="1" ht="34.5" customHeight="1">
      <c r="A4" s="717" t="s">
        <v>147</v>
      </c>
      <c r="B4" s="718"/>
      <c r="C4" s="718"/>
      <c r="D4" s="718"/>
      <c r="E4" s="718"/>
      <c r="F4" s="718"/>
      <c r="G4" s="718"/>
      <c r="H4" s="718"/>
      <c r="I4" s="719"/>
    </row>
    <row r="5" spans="1:8" s="6" customFormat="1" ht="14.25">
      <c r="A5" s="52"/>
      <c r="H5" s="57" t="s">
        <v>148</v>
      </c>
    </row>
    <row r="6" spans="1:8" s="6" customFormat="1" ht="14.25">
      <c r="A6" s="52"/>
      <c r="H6" s="364">
        <v>1</v>
      </c>
    </row>
    <row r="7" spans="1:10" s="7" customFormat="1" ht="57.75" customHeight="1">
      <c r="A7" s="365"/>
      <c r="B7" s="365" t="s">
        <v>149</v>
      </c>
      <c r="C7" s="365" t="s">
        <v>150</v>
      </c>
      <c r="D7" s="365" t="s">
        <v>151</v>
      </c>
      <c r="E7" s="365" t="s">
        <v>152</v>
      </c>
      <c r="F7" s="365" t="s">
        <v>153</v>
      </c>
      <c r="G7" s="365" t="s">
        <v>154</v>
      </c>
      <c r="H7" s="365" t="s">
        <v>155</v>
      </c>
      <c r="I7" s="365" t="s">
        <v>156</v>
      </c>
      <c r="J7" s="51" t="s">
        <v>201</v>
      </c>
    </row>
    <row r="8" spans="1:10" s="7" customFormat="1" ht="15.75" customHeight="1">
      <c r="A8" s="366">
        <f>Доходи!A14</f>
        <v>1</v>
      </c>
      <c r="B8" s="367" t="str">
        <f>Доходи!B14</f>
        <v>с.Безуглівка</v>
      </c>
      <c r="C8" s="357">
        <f>Видатки!BK15</f>
        <v>234219</v>
      </c>
      <c r="D8" s="357">
        <f>Доходи!Z14</f>
        <v>63250</v>
      </c>
      <c r="E8" s="357">
        <f aca="true" t="shared" si="0" ref="E8:E37">(C8-D8+ABS(C8-D8))/2</f>
        <v>170969</v>
      </c>
      <c r="F8" s="368">
        <f aca="true" t="shared" si="1" ref="F8:F37">E8/($D$39+$E$40+$H$38)</f>
        <v>0.003021050716876893</v>
      </c>
      <c r="G8" s="357">
        <f aca="true" t="shared" si="2" ref="G8:G37">(D8-C8+ABS(C8-D8))/2</f>
        <v>0</v>
      </c>
      <c r="H8" s="357">
        <f aca="true" t="shared" si="3" ref="H8:H37">G8*$H$6</f>
        <v>0</v>
      </c>
      <c r="I8" s="368">
        <f>G8/Трансферти!D8</f>
        <v>0</v>
      </c>
      <c r="J8" s="356"/>
    </row>
    <row r="9" spans="1:10" s="7" customFormat="1" ht="15.75" customHeight="1">
      <c r="A9" s="366">
        <f>Доходи!A15</f>
        <v>2</v>
      </c>
      <c r="B9" s="367" t="str">
        <f>Доходи!B15</f>
        <v>с.Березанка</v>
      </c>
      <c r="C9" s="357">
        <f>Видатки!BK16</f>
        <v>52615</v>
      </c>
      <c r="D9" s="357">
        <f>Доходи!Z15</f>
        <v>9550</v>
      </c>
      <c r="E9" s="357">
        <f>(C9-D9+ABS(C9-D9))/2</f>
        <v>43065</v>
      </c>
      <c r="F9" s="368">
        <f t="shared" si="1"/>
        <v>0.0007609657254958699</v>
      </c>
      <c r="G9" s="357">
        <f>(D9-C9+ABS(C9-D9))/2</f>
        <v>0</v>
      </c>
      <c r="H9" s="357">
        <f>G9*$H$6</f>
        <v>0</v>
      </c>
      <c r="I9" s="368">
        <f>G9/Трансферти!D9</f>
        <v>0</v>
      </c>
      <c r="J9" s="356"/>
    </row>
    <row r="10" spans="1:10" s="7" customFormat="1" ht="15.75" customHeight="1">
      <c r="A10" s="366">
        <f>Доходи!A16</f>
        <v>3</v>
      </c>
      <c r="B10" s="367" t="str">
        <f>Доходи!B16</f>
        <v>с.Бурківка</v>
      </c>
      <c r="C10" s="357">
        <f>Видатки!BK17</f>
        <v>76861</v>
      </c>
      <c r="D10" s="357">
        <f>Доходи!Z16</f>
        <v>56300</v>
      </c>
      <c r="E10" s="357">
        <f t="shared" si="0"/>
        <v>20561</v>
      </c>
      <c r="F10" s="368">
        <f t="shared" si="1"/>
        <v>0.0003633162958764793</v>
      </c>
      <c r="G10" s="357">
        <f t="shared" si="2"/>
        <v>0</v>
      </c>
      <c r="H10" s="357">
        <f t="shared" si="3"/>
        <v>0</v>
      </c>
      <c r="I10" s="368">
        <f>G10/Трансферти!D10</f>
        <v>0</v>
      </c>
      <c r="J10" s="356"/>
    </row>
    <row r="11" spans="1:10" s="7" customFormat="1" ht="15.75" customHeight="1">
      <c r="A11" s="366">
        <f>Доходи!A17</f>
        <v>4</v>
      </c>
      <c r="B11" s="367" t="str">
        <f>Доходи!B17</f>
        <v>с.Велика Дорога</v>
      </c>
      <c r="C11" s="357">
        <f>Видатки!BK18</f>
        <v>245665</v>
      </c>
      <c r="D11" s="357">
        <f>Доходи!Z17</f>
        <v>28330</v>
      </c>
      <c r="E11" s="357">
        <f t="shared" si="0"/>
        <v>217335</v>
      </c>
      <c r="F11" s="368">
        <f t="shared" si="1"/>
        <v>0.0038403456623858096</v>
      </c>
      <c r="G11" s="357">
        <f t="shared" si="2"/>
        <v>0</v>
      </c>
      <c r="H11" s="357">
        <f t="shared" si="3"/>
        <v>0</v>
      </c>
      <c r="I11" s="368">
        <f>G11/Трансферти!D11</f>
        <v>0</v>
      </c>
      <c r="J11" s="356"/>
    </row>
    <row r="12" spans="1:10" s="7" customFormat="1" ht="15.75" customHeight="1">
      <c r="A12" s="366">
        <f>Доходи!A18</f>
        <v>5</v>
      </c>
      <c r="B12" s="367" t="str">
        <f>Доходи!B18</f>
        <v>с.Велика Кошелівка</v>
      </c>
      <c r="C12" s="357">
        <f>Видатки!BK19</f>
        <v>102065</v>
      </c>
      <c r="D12" s="357">
        <f>Доходи!Z18</f>
        <v>67950</v>
      </c>
      <c r="E12" s="357">
        <f t="shared" si="0"/>
        <v>34115</v>
      </c>
      <c r="F12" s="368">
        <f t="shared" si="1"/>
        <v>0.0006028177342457124</v>
      </c>
      <c r="G12" s="357">
        <f t="shared" si="2"/>
        <v>0</v>
      </c>
      <c r="H12" s="357">
        <f t="shared" si="3"/>
        <v>0</v>
      </c>
      <c r="I12" s="368">
        <f>G12/Трансферти!D12</f>
        <v>0</v>
      </c>
      <c r="J12" s="356"/>
    </row>
    <row r="13" spans="1:10" s="7" customFormat="1" ht="15.75" customHeight="1">
      <c r="A13" s="366">
        <f>Доходи!A19</f>
        <v>6</v>
      </c>
      <c r="B13" s="367" t="str">
        <f>Доходи!B19</f>
        <v>с.Вертіївка</v>
      </c>
      <c r="C13" s="357">
        <f>Видатки!BK20</f>
        <v>1050494</v>
      </c>
      <c r="D13" s="357">
        <f>Доходи!Z19</f>
        <v>736960</v>
      </c>
      <c r="E13" s="357">
        <f t="shared" si="0"/>
        <v>313534</v>
      </c>
      <c r="F13" s="368">
        <f t="shared" si="1"/>
        <v>0.005540198021075632</v>
      </c>
      <c r="G13" s="357">
        <f t="shared" si="2"/>
        <v>0</v>
      </c>
      <c r="H13" s="357">
        <f t="shared" si="3"/>
        <v>0</v>
      </c>
      <c r="I13" s="368">
        <f>G13/Трансферти!D13</f>
        <v>0</v>
      </c>
      <c r="J13" s="356"/>
    </row>
    <row r="14" spans="1:10" s="7" customFormat="1" ht="15.75" customHeight="1">
      <c r="A14" s="366">
        <f>Доходи!A20</f>
        <v>7</v>
      </c>
      <c r="B14" s="367" t="str">
        <f>Доходи!B20</f>
        <v>с.Вікторівка</v>
      </c>
      <c r="C14" s="357">
        <f>Видатки!BK21</f>
        <v>85697</v>
      </c>
      <c r="D14" s="357">
        <f>Доходи!Z20</f>
        <v>58570</v>
      </c>
      <c r="E14" s="357">
        <f t="shared" si="0"/>
        <v>27127</v>
      </c>
      <c r="F14" s="368">
        <f t="shared" si="1"/>
        <v>0.0004793386099042485</v>
      </c>
      <c r="G14" s="357">
        <f t="shared" si="2"/>
        <v>0</v>
      </c>
      <c r="H14" s="357">
        <f t="shared" si="3"/>
        <v>0</v>
      </c>
      <c r="I14" s="368">
        <f>G14/Трансферти!D14</f>
        <v>0</v>
      </c>
      <c r="J14" s="356"/>
    </row>
    <row r="15" spans="1:10" s="7" customFormat="1" ht="15.75" customHeight="1">
      <c r="A15" s="366">
        <f>Доходи!A21</f>
        <v>8</v>
      </c>
      <c r="B15" s="367" t="str">
        <f>Доходи!B21</f>
        <v>с.Галиця</v>
      </c>
      <c r="C15" s="357">
        <f>Видатки!BK22</f>
        <v>491144</v>
      </c>
      <c r="D15" s="357">
        <f>Доходи!Z21</f>
        <v>241880</v>
      </c>
      <c r="E15" s="357">
        <f t="shared" si="0"/>
        <v>249264</v>
      </c>
      <c r="F15" s="368">
        <f t="shared" si="1"/>
        <v>0.0044045364123999195</v>
      </c>
      <c r="G15" s="357">
        <f t="shared" si="2"/>
        <v>0</v>
      </c>
      <c r="H15" s="357">
        <f t="shared" si="3"/>
        <v>0</v>
      </c>
      <c r="I15" s="368">
        <f>G15/Трансферти!D15</f>
        <v>0</v>
      </c>
      <c r="J15" s="356"/>
    </row>
    <row r="16" spans="1:10" s="7" customFormat="1" ht="15.75" customHeight="1">
      <c r="A16" s="366">
        <f>Доходи!A22</f>
        <v>9</v>
      </c>
      <c r="B16" s="367" t="str">
        <f>Доходи!B22</f>
        <v>с.Григоро-Іванівка</v>
      </c>
      <c r="C16" s="357">
        <f>Видатки!BK23</f>
        <v>288126</v>
      </c>
      <c r="D16" s="357">
        <f>Доходи!Z22</f>
        <v>162500</v>
      </c>
      <c r="E16" s="357">
        <f>(C16-D16+ABS(C16-D16))/2</f>
        <v>125626</v>
      </c>
      <c r="F16" s="368">
        <f t="shared" si="1"/>
        <v>0.002219832351820368</v>
      </c>
      <c r="G16" s="357">
        <f>(D16-C16+ABS(C16-D16))/2</f>
        <v>0</v>
      </c>
      <c r="H16" s="357">
        <f>G16*$H$6</f>
        <v>0</v>
      </c>
      <c r="I16" s="368">
        <f>G16/Трансферти!D16</f>
        <v>0</v>
      </c>
      <c r="J16" s="356"/>
    </row>
    <row r="17" spans="1:10" s="7" customFormat="1" ht="15.75" customHeight="1">
      <c r="A17" s="366">
        <f>Доходи!A23</f>
        <v>10</v>
      </c>
      <c r="B17" s="367" t="str">
        <f>Доходи!B23</f>
        <v>с.Данине</v>
      </c>
      <c r="C17" s="357">
        <f>Видатки!BK24</f>
        <v>234171</v>
      </c>
      <c r="D17" s="357">
        <f>Доходи!Z23</f>
        <v>112200</v>
      </c>
      <c r="E17" s="357">
        <f t="shared" si="0"/>
        <v>121971</v>
      </c>
      <c r="F17" s="368">
        <f t="shared" si="1"/>
        <v>0.0021552478928237953</v>
      </c>
      <c r="G17" s="357">
        <f t="shared" si="2"/>
        <v>0</v>
      </c>
      <c r="H17" s="357">
        <f t="shared" si="3"/>
        <v>0</v>
      </c>
      <c r="I17" s="368">
        <f>G17/Трансферти!D17</f>
        <v>0</v>
      </c>
      <c r="J17" s="356"/>
    </row>
    <row r="18" spans="1:10" s="7" customFormat="1" ht="15.75" customHeight="1">
      <c r="A18" s="366">
        <f>Доходи!A24</f>
        <v>11</v>
      </c>
      <c r="B18" s="367" t="str">
        <f>Доходи!B24</f>
        <v>с.Дуболугівка</v>
      </c>
      <c r="C18" s="357">
        <f>Видатки!BK25</f>
        <v>78661</v>
      </c>
      <c r="D18" s="357">
        <f>Доходи!Z24</f>
        <v>16050</v>
      </c>
      <c r="E18" s="357">
        <f t="shared" si="0"/>
        <v>62611</v>
      </c>
      <c r="F18" s="368">
        <f t="shared" si="1"/>
        <v>0.001106346802252918</v>
      </c>
      <c r="G18" s="357">
        <f t="shared" si="2"/>
        <v>0</v>
      </c>
      <c r="H18" s="357">
        <f t="shared" si="3"/>
        <v>0</v>
      </c>
      <c r="I18" s="368">
        <f>G18/Трансферти!D18</f>
        <v>0</v>
      </c>
      <c r="J18" s="356"/>
    </row>
    <row r="19" spans="1:10" s="7" customFormat="1" ht="15.75" customHeight="1">
      <c r="A19" s="366">
        <f>Доходи!A25</f>
        <v>12</v>
      </c>
      <c r="B19" s="367" t="str">
        <f>Доходи!B25</f>
        <v>с.Заньки</v>
      </c>
      <c r="C19" s="357">
        <f>Видатки!BK26</f>
        <v>70295</v>
      </c>
      <c r="D19" s="357">
        <f>Доходи!Z25</f>
        <v>10450</v>
      </c>
      <c r="E19" s="357">
        <f t="shared" si="0"/>
        <v>59845</v>
      </c>
      <c r="F19" s="368">
        <f t="shared" si="1"/>
        <v>0.0010574711213816401</v>
      </c>
      <c r="G19" s="357">
        <f t="shared" si="2"/>
        <v>0</v>
      </c>
      <c r="H19" s="357">
        <f t="shared" si="3"/>
        <v>0</v>
      </c>
      <c r="I19" s="368">
        <f>G19/Трансферти!D19</f>
        <v>0</v>
      </c>
      <c r="J19" s="356"/>
    </row>
    <row r="20" spans="1:10" s="7" customFormat="1" ht="15.75" customHeight="1">
      <c r="A20" s="366">
        <f>Доходи!A26</f>
        <v>13</v>
      </c>
      <c r="B20" s="367" t="str">
        <f>Доходи!B26</f>
        <v>с.Колісники</v>
      </c>
      <c r="C20" s="357">
        <f>Видатки!BK27</f>
        <v>95374</v>
      </c>
      <c r="D20" s="357">
        <f>Доходи!Z26</f>
        <v>40100</v>
      </c>
      <c r="E20" s="357">
        <f t="shared" si="0"/>
        <v>55274</v>
      </c>
      <c r="F20" s="368">
        <f t="shared" si="1"/>
        <v>0.000976700789761029</v>
      </c>
      <c r="G20" s="357">
        <f t="shared" si="2"/>
        <v>0</v>
      </c>
      <c r="H20" s="357">
        <f t="shared" si="3"/>
        <v>0</v>
      </c>
      <c r="I20" s="368">
        <f>G20/Трансферти!D20</f>
        <v>0</v>
      </c>
      <c r="J20" s="356"/>
    </row>
    <row r="21" spans="1:10" s="7" customFormat="1" ht="15.75" customHeight="1">
      <c r="A21" s="366">
        <f>Доходи!A27</f>
        <v>14</v>
      </c>
      <c r="B21" s="367" t="str">
        <f>Доходи!B27</f>
        <v>с.Крути</v>
      </c>
      <c r="C21" s="357">
        <f>Видатки!BK28</f>
        <v>457579</v>
      </c>
      <c r="D21" s="357">
        <f>Доходи!Z27</f>
        <v>92280</v>
      </c>
      <c r="E21" s="357">
        <f t="shared" si="0"/>
        <v>365299</v>
      </c>
      <c r="F21" s="368">
        <f t="shared" si="1"/>
        <v>0.006454894196166627</v>
      </c>
      <c r="G21" s="357">
        <f t="shared" si="2"/>
        <v>0</v>
      </c>
      <c r="H21" s="357">
        <f t="shared" si="3"/>
        <v>0</v>
      </c>
      <c r="I21" s="368">
        <f>G21/Трансферти!D21</f>
        <v>0</v>
      </c>
      <c r="J21" s="356"/>
    </row>
    <row r="22" spans="1:10" s="7" customFormat="1" ht="15.75" customHeight="1">
      <c r="A22" s="366">
        <f>Доходи!A28</f>
        <v>15</v>
      </c>
      <c r="B22" s="367" t="str">
        <f>Доходи!B28</f>
        <v>с.Кукшин</v>
      </c>
      <c r="C22" s="357">
        <f>Видатки!BK29</f>
        <v>150513</v>
      </c>
      <c r="D22" s="357">
        <f>Доходи!Z28</f>
        <v>98590</v>
      </c>
      <c r="E22" s="357">
        <f t="shared" si="0"/>
        <v>51923</v>
      </c>
      <c r="F22" s="368">
        <f t="shared" si="1"/>
        <v>0.0009174880614169756</v>
      </c>
      <c r="G22" s="357">
        <f t="shared" si="2"/>
        <v>0</v>
      </c>
      <c r="H22" s="357">
        <f t="shared" si="3"/>
        <v>0</v>
      </c>
      <c r="I22" s="368">
        <f>G22/Трансферти!D22</f>
        <v>0</v>
      </c>
      <c r="J22" s="356"/>
    </row>
    <row r="23" spans="1:10" s="7" customFormat="1" ht="15.75" customHeight="1">
      <c r="A23" s="366">
        <f>Доходи!A29</f>
        <v>16</v>
      </c>
      <c r="B23" s="367" t="str">
        <f>Доходи!B29</f>
        <v>с.Кунашівка</v>
      </c>
      <c r="C23" s="357">
        <f>Видатки!BK30</f>
        <v>158442</v>
      </c>
      <c r="D23" s="357">
        <f>Доходи!Z29</f>
        <v>142480</v>
      </c>
      <c r="E23" s="357">
        <f t="shared" si="0"/>
        <v>15962</v>
      </c>
      <c r="F23" s="368">
        <f t="shared" si="1"/>
        <v>0.0002820511995905045</v>
      </c>
      <c r="G23" s="357">
        <f t="shared" si="2"/>
        <v>0</v>
      </c>
      <c r="H23" s="357">
        <f t="shared" si="3"/>
        <v>0</v>
      </c>
      <c r="I23" s="368">
        <f>G23/Трансферти!D23</f>
        <v>0</v>
      </c>
      <c r="J23" s="356"/>
    </row>
    <row r="24" spans="1:10" s="7" customFormat="1" ht="15.75" customHeight="1">
      <c r="A24" s="366">
        <f>Доходи!A30</f>
        <v>17</v>
      </c>
      <c r="B24" s="367" t="str">
        <f>Доходи!B30</f>
        <v>с.Липів Ріг</v>
      </c>
      <c r="C24" s="357">
        <f>Видатки!BK31</f>
        <v>183487</v>
      </c>
      <c r="D24" s="357">
        <f>Доходи!Z30</f>
        <v>111500</v>
      </c>
      <c r="E24" s="357">
        <f t="shared" si="0"/>
        <v>71987</v>
      </c>
      <c r="F24" s="368">
        <f t="shared" si="1"/>
        <v>0.0012720222844832506</v>
      </c>
      <c r="G24" s="357">
        <f t="shared" si="2"/>
        <v>0</v>
      </c>
      <c r="H24" s="357">
        <f t="shared" si="3"/>
        <v>0</v>
      </c>
      <c r="I24" s="368">
        <f>G24/Трансферти!D24</f>
        <v>0</v>
      </c>
      <c r="J24" s="356"/>
    </row>
    <row r="25" spans="1:10" s="7" customFormat="1" ht="15.75" customHeight="1">
      <c r="A25" s="366">
        <f>Доходи!A31</f>
        <v>18</v>
      </c>
      <c r="B25" s="367" t="str">
        <f>Доходи!B31</f>
        <v>с.Мала Кошелівка</v>
      </c>
      <c r="C25" s="357">
        <f>Видатки!BK32</f>
        <v>165927</v>
      </c>
      <c r="D25" s="357">
        <f>Доходи!Z31</f>
        <v>171400</v>
      </c>
      <c r="E25" s="357">
        <f t="shared" si="0"/>
        <v>0</v>
      </c>
      <c r="F25" s="368">
        <f t="shared" si="1"/>
        <v>0</v>
      </c>
      <c r="G25" s="357">
        <f t="shared" si="2"/>
        <v>5473</v>
      </c>
      <c r="H25" s="357">
        <f t="shared" si="3"/>
        <v>5473</v>
      </c>
      <c r="I25" s="368">
        <f>G25/Трансферти!D25</f>
        <v>0.03193115519253209</v>
      </c>
      <c r="J25" s="356"/>
    </row>
    <row r="26" spans="1:10" s="7" customFormat="1" ht="15.75" customHeight="1">
      <c r="A26" s="366">
        <f>Доходи!A32</f>
        <v>19</v>
      </c>
      <c r="B26" s="367" t="str">
        <f>Доходи!B32</f>
        <v>с.Перебудова</v>
      </c>
      <c r="C26" s="357">
        <f>Видатки!BK33</f>
        <v>96135</v>
      </c>
      <c r="D26" s="357">
        <f>Доходи!Z32</f>
        <v>21940</v>
      </c>
      <c r="E26" s="357">
        <f t="shared" si="0"/>
        <v>74195</v>
      </c>
      <c r="F26" s="368">
        <f t="shared" si="1"/>
        <v>0.0013110380123804962</v>
      </c>
      <c r="G26" s="357">
        <f t="shared" si="2"/>
        <v>0</v>
      </c>
      <c r="H26" s="357">
        <f t="shared" si="3"/>
        <v>0</v>
      </c>
      <c r="I26" s="368">
        <f>G26/Трансферти!D26</f>
        <v>0</v>
      </c>
      <c r="J26" s="356"/>
    </row>
    <row r="27" spans="1:10" s="7" customFormat="1" ht="15" customHeight="1">
      <c r="A27" s="366">
        <f>Доходи!A33</f>
        <v>20</v>
      </c>
      <c r="B27" s="367" t="str">
        <f>Доходи!B33</f>
        <v>с.Перемога</v>
      </c>
      <c r="C27" s="357">
        <f>Видатки!BK34</f>
        <v>323100</v>
      </c>
      <c r="D27" s="357">
        <f>Доходи!Z33</f>
        <v>57050</v>
      </c>
      <c r="E27" s="357">
        <f t="shared" si="0"/>
        <v>266050</v>
      </c>
      <c r="F27" s="368">
        <f t="shared" si="1"/>
        <v>0.0047011478292854104</v>
      </c>
      <c r="G27" s="357">
        <f t="shared" si="2"/>
        <v>0</v>
      </c>
      <c r="H27" s="357">
        <f t="shared" si="3"/>
        <v>0</v>
      </c>
      <c r="I27" s="368">
        <f>G27/Трансферти!D27</f>
        <v>0</v>
      </c>
      <c r="J27" s="356"/>
    </row>
    <row r="28" spans="1:10" s="7" customFormat="1" ht="15.75" customHeight="1">
      <c r="A28" s="366">
        <f>Доходи!A34</f>
        <v>21</v>
      </c>
      <c r="B28" s="367" t="str">
        <f>Доходи!B34</f>
        <v>с.Переяслівка</v>
      </c>
      <c r="C28" s="357">
        <f>Видатки!BK35</f>
        <v>79296</v>
      </c>
      <c r="D28" s="357">
        <f>Доходи!Z34</f>
        <v>28340</v>
      </c>
      <c r="E28" s="357">
        <f t="shared" si="0"/>
        <v>50956</v>
      </c>
      <c r="F28" s="368">
        <f t="shared" si="1"/>
        <v>0.0009004010102953105</v>
      </c>
      <c r="G28" s="357">
        <f t="shared" si="2"/>
        <v>0</v>
      </c>
      <c r="H28" s="357">
        <f t="shared" si="3"/>
        <v>0</v>
      </c>
      <c r="I28" s="368">
        <f>G28/Трансферти!D28</f>
        <v>0</v>
      </c>
      <c r="J28" s="356"/>
    </row>
    <row r="29" spans="1:10" s="7" customFormat="1" ht="15.75" customHeight="1">
      <c r="A29" s="366">
        <f>Доходи!A35</f>
        <v>22</v>
      </c>
      <c r="B29" s="367" t="str">
        <f>Доходи!B35</f>
        <v>с.Сальне</v>
      </c>
      <c r="C29" s="357">
        <f>Видатки!BK36</f>
        <v>134598</v>
      </c>
      <c r="D29" s="357">
        <f>Доходи!Z35</f>
        <v>135400</v>
      </c>
      <c r="E29" s="357">
        <f t="shared" si="0"/>
        <v>0</v>
      </c>
      <c r="F29" s="368">
        <f t="shared" si="1"/>
        <v>0</v>
      </c>
      <c r="G29" s="357">
        <f t="shared" si="2"/>
        <v>802</v>
      </c>
      <c r="H29" s="357">
        <f t="shared" si="3"/>
        <v>802</v>
      </c>
      <c r="I29" s="368">
        <f>G29/Трансферти!D29</f>
        <v>0.005923190546528803</v>
      </c>
      <c r="J29" s="356"/>
    </row>
    <row r="30" spans="1:10" s="7" customFormat="1" ht="15.75" customHeight="1">
      <c r="A30" s="366">
        <f>Доходи!A36</f>
        <v>23</v>
      </c>
      <c r="B30" s="367" t="str">
        <f>Доходи!B36</f>
        <v>с.Світанок</v>
      </c>
      <c r="C30" s="357">
        <f>Видатки!BK37</f>
        <v>273935</v>
      </c>
      <c r="D30" s="357">
        <f>Доходи!Z36</f>
        <v>59330</v>
      </c>
      <c r="E30" s="357">
        <f t="shared" si="0"/>
        <v>214605</v>
      </c>
      <c r="F30" s="368">
        <f t="shared" si="1"/>
        <v>0.0037921061075128566</v>
      </c>
      <c r="G30" s="357">
        <f t="shared" si="2"/>
        <v>0</v>
      </c>
      <c r="H30" s="357">
        <f t="shared" si="3"/>
        <v>0</v>
      </c>
      <c r="I30" s="368">
        <f>G30/Трансферти!D30</f>
        <v>0</v>
      </c>
      <c r="J30" s="356"/>
    </row>
    <row r="31" spans="1:10" s="7" customFormat="1" ht="15.75" customHeight="1">
      <c r="A31" s="366">
        <f>Доходи!A37</f>
        <v>24</v>
      </c>
      <c r="B31" s="367" t="str">
        <f>Доходи!B37</f>
        <v>с.Стодоли</v>
      </c>
      <c r="C31" s="357">
        <f>Видатки!BK38</f>
        <v>106512</v>
      </c>
      <c r="D31" s="357">
        <f>Доходи!Z37</f>
        <v>20030</v>
      </c>
      <c r="E31" s="357">
        <f t="shared" si="0"/>
        <v>86482</v>
      </c>
      <c r="F31" s="368">
        <f t="shared" si="1"/>
        <v>0.0015281513496420253</v>
      </c>
      <c r="G31" s="357">
        <f t="shared" si="2"/>
        <v>0</v>
      </c>
      <c r="H31" s="357">
        <f t="shared" si="3"/>
        <v>0</v>
      </c>
      <c r="I31" s="368">
        <f>G31/Трансферти!D31</f>
        <v>0</v>
      </c>
      <c r="J31" s="356"/>
    </row>
    <row r="32" spans="1:10" s="7" customFormat="1" ht="15.75" customHeight="1">
      <c r="A32" s="366">
        <f>Доходи!A38</f>
        <v>25</v>
      </c>
      <c r="B32" s="367" t="str">
        <f>Доходи!B38</f>
        <v>с.Талалаївка</v>
      </c>
      <c r="C32" s="357">
        <f>Видатки!BK39</f>
        <v>644540</v>
      </c>
      <c r="D32" s="357">
        <f>Доходи!Z38</f>
        <v>161500</v>
      </c>
      <c r="E32" s="357">
        <f t="shared" si="0"/>
        <v>483040</v>
      </c>
      <c r="F32" s="368">
        <f t="shared" si="1"/>
        <v>0.008535397284187275</v>
      </c>
      <c r="G32" s="357">
        <f t="shared" si="2"/>
        <v>0</v>
      </c>
      <c r="H32" s="357">
        <f t="shared" si="3"/>
        <v>0</v>
      </c>
      <c r="I32" s="368">
        <f>G32/Трансферти!D32</f>
        <v>0</v>
      </c>
      <c r="J32" s="356"/>
    </row>
    <row r="33" spans="1:10" s="7" customFormat="1" ht="15.75" customHeight="1">
      <c r="A33" s="366">
        <f>Доходи!A39</f>
        <v>26</v>
      </c>
      <c r="B33" s="367" t="str">
        <f>Доходи!B39</f>
        <v>с.Терешківка</v>
      </c>
      <c r="C33" s="357">
        <f>Видатки!BK40</f>
        <v>71354</v>
      </c>
      <c r="D33" s="357">
        <f>Доходи!Z39</f>
        <v>28830</v>
      </c>
      <c r="E33" s="357">
        <f t="shared" si="0"/>
        <v>42524</v>
      </c>
      <c r="F33" s="368">
        <f t="shared" si="1"/>
        <v>0.00075140616535438</v>
      </c>
      <c r="G33" s="357">
        <f t="shared" si="2"/>
        <v>0</v>
      </c>
      <c r="H33" s="357">
        <f t="shared" si="3"/>
        <v>0</v>
      </c>
      <c r="I33" s="368">
        <f>G33/Трансферти!D33</f>
        <v>0</v>
      </c>
      <c r="J33" s="356"/>
    </row>
    <row r="34" spans="1:10" s="7" customFormat="1" ht="15.75" customHeight="1">
      <c r="A34" s="366">
        <f>Доходи!A40</f>
        <v>27</v>
      </c>
      <c r="B34" s="367" t="str">
        <f>Доходи!B40</f>
        <v>с.Черняхівка</v>
      </c>
      <c r="C34" s="357">
        <f>Видатки!BK41</f>
        <v>159044</v>
      </c>
      <c r="D34" s="357">
        <f>Доходи!Z40</f>
        <v>27640</v>
      </c>
      <c r="E34" s="357">
        <f t="shared" si="0"/>
        <v>131404</v>
      </c>
      <c r="F34" s="368">
        <f t="shared" si="1"/>
        <v>0.0023219305745514757</v>
      </c>
      <c r="G34" s="357">
        <f t="shared" si="2"/>
        <v>0</v>
      </c>
      <c r="H34" s="357">
        <f t="shared" si="3"/>
        <v>0</v>
      </c>
      <c r="I34" s="368">
        <f>G34/Трансферти!D34</f>
        <v>0</v>
      </c>
      <c r="J34" s="356"/>
    </row>
    <row r="35" spans="1:10" s="7" customFormat="1" ht="15.75" customHeight="1">
      <c r="A35" s="366">
        <f>Доходи!A41</f>
        <v>28</v>
      </c>
      <c r="B35" s="367" t="str">
        <f>Доходи!B41</f>
        <v>с.Шатура</v>
      </c>
      <c r="C35" s="357">
        <f>Видатки!BK42</f>
        <v>238344</v>
      </c>
      <c r="D35" s="357">
        <f>Доходи!Z41</f>
        <v>240800</v>
      </c>
      <c r="E35" s="357">
        <f t="shared" si="0"/>
        <v>0</v>
      </c>
      <c r="F35" s="368">
        <f t="shared" si="1"/>
        <v>0</v>
      </c>
      <c r="G35" s="357">
        <f t="shared" si="2"/>
        <v>2456</v>
      </c>
      <c r="H35" s="357">
        <f t="shared" si="3"/>
        <v>2456</v>
      </c>
      <c r="I35" s="368">
        <f>G35/Трансферти!D35</f>
        <v>0.010199335548172758</v>
      </c>
      <c r="J35" s="356"/>
    </row>
    <row r="36" spans="1:10" s="7" customFormat="1" ht="15.75" customHeight="1">
      <c r="A36" s="366">
        <f>Доходи!A42</f>
        <v>29</v>
      </c>
      <c r="B36" s="367" t="str">
        <f>Доходи!B42</f>
        <v>с.Шняківка</v>
      </c>
      <c r="C36" s="357">
        <f>Видатки!BK43</f>
        <v>77708</v>
      </c>
      <c r="D36" s="357">
        <f>Доходи!Z42</f>
        <v>18880</v>
      </c>
      <c r="E36" s="357">
        <f t="shared" si="0"/>
        <v>58828</v>
      </c>
      <c r="F36" s="368">
        <f t="shared" si="1"/>
        <v>0.0010395005619289687</v>
      </c>
      <c r="G36" s="357">
        <f t="shared" si="2"/>
        <v>0</v>
      </c>
      <c r="H36" s="357">
        <f t="shared" si="3"/>
        <v>0</v>
      </c>
      <c r="I36" s="368">
        <f>G36/Трансферти!D36</f>
        <v>0</v>
      </c>
      <c r="J36" s="356"/>
    </row>
    <row r="37" spans="1:10" s="7" customFormat="1" ht="15.75" customHeight="1">
      <c r="A37" s="366">
        <f>Доходи!A43</f>
        <v>30</v>
      </c>
      <c r="B37" s="367" t="str">
        <f>Доходи!B43</f>
        <v>селище Лосинівка</v>
      </c>
      <c r="C37" s="357">
        <f>Видатки!BK44</f>
        <v>1401162</v>
      </c>
      <c r="D37" s="357">
        <f>Доходи!Z43</f>
        <v>844920</v>
      </c>
      <c r="E37" s="357">
        <f t="shared" si="0"/>
        <v>556242</v>
      </c>
      <c r="F37" s="368">
        <f t="shared" si="1"/>
        <v>0.009828888821113983</v>
      </c>
      <c r="G37" s="357">
        <f t="shared" si="2"/>
        <v>0</v>
      </c>
      <c r="H37" s="357">
        <f t="shared" si="3"/>
        <v>0</v>
      </c>
      <c r="I37" s="368">
        <f>G37/Трансферти!D37</f>
        <v>0</v>
      </c>
      <c r="J37" s="356"/>
    </row>
    <row r="38" spans="1:10" s="7" customFormat="1" ht="49.5" customHeight="1">
      <c r="A38" s="369" t="s">
        <v>157</v>
      </c>
      <c r="B38" s="370"/>
      <c r="C38" s="357">
        <f aca="true" t="shared" si="4" ref="C38:H38">SUM(C8:C37)</f>
        <v>7827063</v>
      </c>
      <c r="D38" s="357">
        <f t="shared" si="4"/>
        <v>3865000</v>
      </c>
      <c r="E38" s="357">
        <f t="shared" si="4"/>
        <v>3970794</v>
      </c>
      <c r="F38" s="368">
        <f t="shared" si="4"/>
        <v>0.07016459159420986</v>
      </c>
      <c r="G38" s="371">
        <f t="shared" si="4"/>
        <v>8731</v>
      </c>
      <c r="H38" s="371">
        <f t="shared" si="4"/>
        <v>8731</v>
      </c>
      <c r="I38" s="372"/>
      <c r="J38" s="358">
        <f>SUM(J8:J37)</f>
        <v>0</v>
      </c>
    </row>
    <row r="39" spans="1:10" ht="14.25">
      <c r="A39" s="373" t="s">
        <v>8</v>
      </c>
      <c r="B39" s="374" t="s">
        <v>52</v>
      </c>
      <c r="C39" s="357">
        <f>Видатки!BQ6</f>
        <v>52613037</v>
      </c>
      <c r="D39" s="357">
        <f>Доходи!Z45</f>
        <v>7774500</v>
      </c>
      <c r="E39" s="357">
        <f>IF(G39=0,(C39-D39+ABS(C39-D39))/2-G38+H38,(C39-D39+ABS(C39-D39))/2)</f>
        <v>44838537</v>
      </c>
      <c r="F39" s="375"/>
      <c r="G39" s="357">
        <f>(D39-C39+ABS(C39-D39))/2</f>
        <v>0</v>
      </c>
      <c r="H39" s="357">
        <f>IF(G39=0,G39,G39-H38+G38)</f>
        <v>0</v>
      </c>
      <c r="I39" s="376"/>
      <c r="J39" s="363"/>
    </row>
    <row r="40" spans="1:10" ht="14.25">
      <c r="A40" s="377"/>
      <c r="B40" s="378" t="s">
        <v>1</v>
      </c>
      <c r="C40" s="357">
        <f>C38+C39</f>
        <v>60440100</v>
      </c>
      <c r="D40" s="357">
        <f>D38+D39</f>
        <v>11639500</v>
      </c>
      <c r="E40" s="357">
        <f>E38+E39</f>
        <v>48809331</v>
      </c>
      <c r="F40" s="375"/>
      <c r="G40" s="357">
        <f>G38+G39</f>
        <v>8731</v>
      </c>
      <c r="H40" s="357">
        <f>H38+H39</f>
        <v>8731</v>
      </c>
      <c r="I40" s="376"/>
      <c r="J40" s="359">
        <f>SUM(J38:J39)</f>
        <v>0</v>
      </c>
    </row>
    <row r="41" spans="1:9" ht="15" thickBot="1">
      <c r="A41" s="54"/>
      <c r="B41" s="9"/>
      <c r="C41" s="10"/>
      <c r="D41" s="11"/>
      <c r="E41" s="12" t="s">
        <v>158</v>
      </c>
      <c r="F41" s="13"/>
      <c r="G41" s="10"/>
      <c r="H41" s="10"/>
      <c r="I41" s="13"/>
    </row>
    <row r="42" spans="1:9" ht="15" thickBot="1">
      <c r="A42" s="720" t="s">
        <v>159</v>
      </c>
      <c r="B42" s="721"/>
      <c r="C42" s="360">
        <f>Видатки!BQ5</f>
        <v>60440100</v>
      </c>
      <c r="D42" s="56">
        <v>11639500</v>
      </c>
      <c r="E42" s="56">
        <v>48800600</v>
      </c>
      <c r="F42" s="361">
        <f>C42-D42-E42</f>
        <v>0</v>
      </c>
      <c r="G42" s="6"/>
      <c r="H42" s="6"/>
      <c r="I42" s="6"/>
    </row>
    <row r="43" spans="1:9" ht="14.25">
      <c r="A43" s="52"/>
      <c r="B43" s="14" t="s">
        <v>144</v>
      </c>
      <c r="C43" s="362">
        <f>C42-C40</f>
        <v>0</v>
      </c>
      <c r="D43" s="362">
        <f>D42-D40</f>
        <v>0</v>
      </c>
      <c r="E43" s="362">
        <f>E40-E42-H40</f>
        <v>0</v>
      </c>
      <c r="F43" s="6"/>
      <c r="G43" s="15"/>
      <c r="H43" s="15"/>
      <c r="I43" s="6"/>
    </row>
    <row r="44" spans="7:8" ht="12.75">
      <c r="G44" s="16"/>
      <c r="H44" s="16"/>
    </row>
    <row r="45" ht="12.75">
      <c r="E45" s="16"/>
    </row>
    <row r="46" ht="12.75">
      <c r="C46" s="16"/>
    </row>
  </sheetData>
  <sheetProtection formatCells="0" formatColumns="0" formatRows="0" deleteRows="0"/>
  <mergeCells count="2">
    <mergeCell ref="A4:I4"/>
    <mergeCell ref="A42:B42"/>
  </mergeCells>
  <printOptions/>
  <pageMargins left="0.38" right="0.17" top="0.3" bottom="0.32" header="0.3" footer="0.5"/>
  <pageSetup horizontalDpi="600" verticalDpi="600" orientation="portrait" paperSize="9" scale="65" r:id="rId3"/>
  <headerFooter alignWithMargins="0">
    <oddHeader>&amp;R 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2012-12-25T13:10:35Z</cp:lastPrinted>
  <dcterms:created xsi:type="dcterms:W3CDTF">2007-07-16T14:44:44Z</dcterms:created>
  <dcterms:modified xsi:type="dcterms:W3CDTF">2012-12-25T13:11:30Z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355309147</vt:i4>
  </property>
  <property fmtid="{D5CDD505-2E9C-101B-9397-08002B2CF9AE}" pid="3" name="_EmailSubject">
    <vt:lpwstr>Закарпаття. Розрахунок</vt:lpwstr>
  </property>
  <property fmtid="{D5CDD505-2E9C-101B-9397-08002B2CF9AE}" pid="4" name="_AuthorEmail">
    <vt:lpwstr>exp07@minfin.local</vt:lpwstr>
  </property>
  <property fmtid="{D5CDD505-2E9C-101B-9397-08002B2CF9AE}" pid="5" name="_AuthorEmailDisplayName">
    <vt:lpwstr>exp07</vt:lpwstr>
  </property>
  <property fmtid="{D5CDD505-2E9C-101B-9397-08002B2CF9AE}" pid="6" name="_ReviewingToolsShownOnce">
    <vt:lpwstr/>
  </property>
</Properties>
</file>